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DB15" i="2" l="1"/>
  <c r="DA15" i="2"/>
  <c r="CZ15" i="2"/>
  <c r="CY15" i="2"/>
  <c r="K14" i="18" l="1"/>
  <c r="X14" i="18"/>
  <c r="D14" i="18"/>
  <c r="X15" i="17"/>
  <c r="K15" i="17"/>
  <c r="AH19" i="16"/>
  <c r="AH15" i="16"/>
  <c r="X19" i="16"/>
  <c r="X15" i="16"/>
  <c r="K19" i="16"/>
  <c r="K15" i="16"/>
  <c r="FE15" i="2" l="1"/>
  <c r="FD15" i="2"/>
  <c r="FC15" i="2"/>
  <c r="FB15" i="2"/>
  <c r="FA15" i="2"/>
  <c r="AG7" i="8"/>
  <c r="BR17" i="14" l="1"/>
  <c r="BR14" i="14"/>
  <c r="BQ122" i="10" l="1"/>
  <c r="BP122" i="10"/>
  <c r="BQ121" i="10"/>
  <c r="BP121" i="10"/>
  <c r="BQ120" i="10"/>
  <c r="BP120" i="10"/>
  <c r="BQ119" i="10"/>
  <c r="BP119" i="10"/>
  <c r="BQ118" i="10"/>
  <c r="BP118" i="10"/>
  <c r="BQ117" i="10"/>
  <c r="BP117" i="10"/>
  <c r="BQ116" i="10"/>
  <c r="BP116" i="10"/>
  <c r="BQ100" i="10"/>
  <c r="BP100" i="10"/>
  <c r="BQ99" i="10"/>
  <c r="BP99" i="10"/>
  <c r="BQ98" i="10"/>
  <c r="BP98" i="10"/>
  <c r="BQ97" i="10"/>
  <c r="BP97" i="10"/>
  <c r="BQ96" i="10"/>
  <c r="BP96" i="10"/>
  <c r="BQ95" i="10"/>
  <c r="BP95" i="10"/>
  <c r="BQ94" i="10"/>
  <c r="BP94" i="10"/>
  <c r="BQ89" i="10"/>
  <c r="BP89" i="10"/>
  <c r="BQ88" i="10"/>
  <c r="BP88" i="10"/>
  <c r="BQ87" i="10"/>
  <c r="BP87" i="10"/>
  <c r="BQ86" i="10"/>
  <c r="BP86" i="10"/>
  <c r="BQ85" i="10"/>
  <c r="BP85" i="10"/>
  <c r="BQ84" i="10"/>
  <c r="BP84" i="10"/>
  <c r="BQ83" i="10"/>
  <c r="BP83" i="10"/>
  <c r="BQ78" i="10"/>
  <c r="BP78" i="10"/>
  <c r="BQ77" i="10"/>
  <c r="BP77" i="10"/>
  <c r="BQ76" i="10"/>
  <c r="BP76" i="10"/>
  <c r="BQ75" i="10"/>
  <c r="BP75" i="10"/>
  <c r="BQ74" i="10"/>
  <c r="BP74" i="10"/>
  <c r="BQ73" i="10"/>
  <c r="BP73" i="10"/>
  <c r="BQ72" i="10"/>
  <c r="BP72" i="10"/>
  <c r="BQ67" i="10"/>
  <c r="BP67" i="10"/>
  <c r="BQ66" i="10"/>
  <c r="BP66" i="10"/>
  <c r="BQ65" i="10"/>
  <c r="BP65" i="10"/>
  <c r="BQ64" i="10"/>
  <c r="BP64" i="10"/>
  <c r="BQ63" i="10"/>
  <c r="BP63" i="10"/>
  <c r="BQ62" i="10"/>
  <c r="BP62" i="10"/>
  <c r="BQ61" i="10"/>
  <c r="BP61" i="10"/>
  <c r="BQ56" i="10"/>
  <c r="BP56" i="10"/>
  <c r="BQ55" i="10"/>
  <c r="BP55" i="10"/>
  <c r="BQ54" i="10"/>
  <c r="BP54" i="10"/>
  <c r="BQ53" i="10"/>
  <c r="BP53" i="10"/>
  <c r="BQ52" i="10"/>
  <c r="BP52" i="10"/>
  <c r="BQ51" i="10"/>
  <c r="BP51" i="10"/>
  <c r="BQ50" i="10"/>
  <c r="BP50" i="10"/>
  <c r="BQ45" i="10"/>
  <c r="BP45" i="10"/>
  <c r="BQ44" i="10"/>
  <c r="BP44" i="10"/>
  <c r="BQ43" i="10"/>
  <c r="BP43" i="10"/>
  <c r="BQ42" i="10"/>
  <c r="BP42" i="10"/>
  <c r="BQ41" i="10"/>
  <c r="BP41" i="10"/>
  <c r="BQ40" i="10"/>
  <c r="BP40" i="10"/>
  <c r="BQ39" i="10"/>
  <c r="BP39" i="10"/>
  <c r="BQ34" i="10"/>
  <c r="BP34" i="10"/>
  <c r="BQ33" i="10"/>
  <c r="BP33" i="10"/>
  <c r="BQ32" i="10"/>
  <c r="BP32" i="10"/>
  <c r="BQ31" i="10"/>
  <c r="BP31" i="10"/>
  <c r="BQ30" i="10"/>
  <c r="BP30" i="10"/>
  <c r="BQ29" i="10"/>
  <c r="BP29" i="10"/>
  <c r="BQ28" i="10"/>
  <c r="BP28" i="10"/>
  <c r="BQ23" i="10"/>
  <c r="BP23" i="10"/>
  <c r="BQ22" i="10"/>
  <c r="BP22" i="10"/>
  <c r="BQ21" i="10"/>
  <c r="BP21" i="10"/>
  <c r="BQ20" i="10"/>
  <c r="BP20" i="10"/>
  <c r="BQ19" i="10"/>
  <c r="BP19" i="10"/>
  <c r="BQ18" i="10"/>
  <c r="BP18" i="10"/>
  <c r="BQ17" i="10"/>
  <c r="BP17" i="10"/>
  <c r="BQ12" i="10"/>
  <c r="BP12" i="10"/>
  <c r="BQ11" i="10"/>
  <c r="BP11" i="10"/>
  <c r="BQ10" i="10"/>
  <c r="BP10" i="10"/>
  <c r="BQ9" i="10"/>
  <c r="BP9" i="10"/>
  <c r="BQ8" i="10"/>
  <c r="BP8" i="10"/>
  <c r="BQ7" i="10"/>
  <c r="BP7" i="10"/>
  <c r="BQ6" i="10"/>
  <c r="BP6" i="10"/>
  <c r="BO23" i="10"/>
  <c r="BO22" i="10"/>
  <c r="BO20" i="10"/>
  <c r="BO19" i="10"/>
  <c r="BO18" i="10"/>
  <c r="BO17" i="10"/>
  <c r="BO34" i="10"/>
  <c r="BO33" i="10"/>
  <c r="BO31" i="10"/>
  <c r="BO30" i="10"/>
  <c r="BO29" i="10"/>
  <c r="BO28" i="10"/>
  <c r="BN34" i="10"/>
  <c r="BN33" i="10"/>
  <c r="BN31" i="10"/>
  <c r="BN29" i="10"/>
  <c r="BN28" i="10"/>
  <c r="BN23" i="10"/>
  <c r="BN20" i="10"/>
  <c r="BN18" i="10"/>
  <c r="BQ89" i="11"/>
  <c r="BP89" i="11"/>
  <c r="BQ88" i="11"/>
  <c r="BP88" i="11"/>
  <c r="BQ87" i="11"/>
  <c r="BP87" i="11"/>
  <c r="BQ86" i="11"/>
  <c r="BP86" i="11"/>
  <c r="BQ73" i="11"/>
  <c r="BP73" i="11"/>
  <c r="BQ72" i="11"/>
  <c r="BP72" i="11"/>
  <c r="BQ71" i="11"/>
  <c r="BP71" i="11"/>
  <c r="BQ70" i="11"/>
  <c r="BP70" i="11"/>
  <c r="BQ65" i="11"/>
  <c r="BP65" i="11"/>
  <c r="BQ64" i="11"/>
  <c r="BP64" i="11"/>
  <c r="BQ63" i="11"/>
  <c r="BP63" i="11"/>
  <c r="BQ62" i="11"/>
  <c r="BP62" i="11"/>
  <c r="BQ57" i="11"/>
  <c r="BP57" i="11"/>
  <c r="BQ56" i="11"/>
  <c r="BP56" i="11"/>
  <c r="BQ55" i="11"/>
  <c r="BP55" i="11"/>
  <c r="BQ54" i="11"/>
  <c r="BP54" i="11"/>
  <c r="BQ49" i="11"/>
  <c r="BP49" i="11"/>
  <c r="BQ48" i="11"/>
  <c r="BP48" i="11"/>
  <c r="BQ47" i="11"/>
  <c r="BP47" i="11"/>
  <c r="BQ46" i="11"/>
  <c r="BP46" i="11"/>
  <c r="BQ41" i="11"/>
  <c r="BP41" i="11"/>
  <c r="BQ40" i="11"/>
  <c r="BP40" i="11"/>
  <c r="BQ39" i="11"/>
  <c r="BP39" i="11"/>
  <c r="BQ38" i="11"/>
  <c r="BP38" i="11"/>
  <c r="BQ33" i="11"/>
  <c r="BP33" i="11"/>
  <c r="BQ32" i="11"/>
  <c r="BP32" i="11"/>
  <c r="BQ31" i="11"/>
  <c r="BP31" i="11"/>
  <c r="BQ30" i="11"/>
  <c r="BP30" i="11"/>
  <c r="BQ25" i="11"/>
  <c r="BP25" i="11"/>
  <c r="BQ24" i="11"/>
  <c r="BP24" i="11"/>
  <c r="BQ23" i="11"/>
  <c r="BP23" i="11"/>
  <c r="BQ22" i="11"/>
  <c r="BP22" i="11"/>
  <c r="BQ17" i="11"/>
  <c r="BP17" i="11"/>
  <c r="BQ16" i="11"/>
  <c r="BP16" i="11"/>
  <c r="BQ15" i="11"/>
  <c r="BP15" i="11"/>
  <c r="BQ14" i="11"/>
  <c r="BP14" i="11"/>
  <c r="BQ9" i="11"/>
  <c r="BP9" i="11"/>
  <c r="BQ8" i="11"/>
  <c r="BP8" i="11"/>
  <c r="BQ7" i="11"/>
  <c r="BP7" i="11"/>
  <c r="BQ6" i="11"/>
  <c r="BP6" i="11"/>
  <c r="BO17" i="11"/>
  <c r="BO16" i="11"/>
  <c r="BO25" i="11"/>
  <c r="BO24" i="11"/>
  <c r="BO22" i="11"/>
  <c r="BN25" i="11"/>
  <c r="BN24" i="11"/>
  <c r="BN22" i="11"/>
  <c r="BN17" i="11"/>
  <c r="BN16" i="11"/>
  <c r="BQ18" i="12"/>
  <c r="BP18" i="12"/>
  <c r="BQ17" i="12"/>
  <c r="BP17" i="12"/>
  <c r="BQ16" i="12"/>
  <c r="BP16" i="12"/>
  <c r="BQ14" i="12"/>
  <c r="BP14" i="12"/>
  <c r="BQ13" i="12"/>
  <c r="BP13" i="12"/>
  <c r="BQ12" i="12"/>
  <c r="BP12" i="12"/>
  <c r="BQ11" i="12"/>
  <c r="BP11" i="12"/>
  <c r="BQ10" i="12"/>
  <c r="BP10" i="12"/>
  <c r="BQ9" i="12"/>
  <c r="BP9" i="12"/>
  <c r="BQ8" i="12"/>
  <c r="BP8" i="12"/>
  <c r="BQ7" i="12"/>
  <c r="BP7" i="12"/>
  <c r="BQ6" i="12"/>
  <c r="BP6" i="12"/>
  <c r="BQ5" i="12"/>
  <c r="BP5" i="12"/>
  <c r="AD29" i="14" l="1"/>
  <c r="AD22" i="14"/>
  <c r="AD13" i="14"/>
  <c r="AD6" i="14"/>
  <c r="AC29" i="14"/>
  <c r="AC22" i="14"/>
  <c r="AC13" i="14"/>
  <c r="AC6" i="14"/>
  <c r="BN89" i="9" l="1"/>
  <c r="BN88" i="9"/>
  <c r="BQ100" i="9"/>
  <c r="BP100" i="9"/>
  <c r="BQ99" i="9"/>
  <c r="BP99" i="9"/>
  <c r="BQ98" i="9"/>
  <c r="BP98" i="9"/>
  <c r="BQ97" i="9"/>
  <c r="BP97" i="9"/>
  <c r="BQ96" i="9"/>
  <c r="BP96" i="9"/>
  <c r="BQ82" i="9"/>
  <c r="BP82" i="9"/>
  <c r="BQ81" i="9"/>
  <c r="BP81" i="9"/>
  <c r="BQ80" i="9"/>
  <c r="BP80" i="9"/>
  <c r="BQ79" i="9"/>
  <c r="BP79" i="9"/>
  <c r="BQ78" i="9"/>
  <c r="BP78" i="9"/>
  <c r="BQ73" i="9"/>
  <c r="BP73" i="9"/>
  <c r="BQ72" i="9"/>
  <c r="BP72" i="9"/>
  <c r="BQ71" i="9"/>
  <c r="BP71" i="9"/>
  <c r="BQ70" i="9"/>
  <c r="BP70" i="9"/>
  <c r="BQ69" i="9"/>
  <c r="BP69" i="9"/>
  <c r="BQ64" i="9"/>
  <c r="BP64" i="9"/>
  <c r="BQ63" i="9"/>
  <c r="BP63" i="9"/>
  <c r="BQ62" i="9"/>
  <c r="BP62" i="9"/>
  <c r="BQ61" i="9"/>
  <c r="BP61" i="9"/>
  <c r="BQ60" i="9"/>
  <c r="BP60" i="9"/>
  <c r="BQ55" i="9"/>
  <c r="BP55" i="9"/>
  <c r="BQ54" i="9"/>
  <c r="BP54" i="9"/>
  <c r="BQ53" i="9"/>
  <c r="BP53" i="9"/>
  <c r="BQ52" i="9"/>
  <c r="BP52" i="9"/>
  <c r="BQ51" i="9"/>
  <c r="BP51" i="9"/>
  <c r="BQ46" i="9"/>
  <c r="BP46" i="9"/>
  <c r="BQ45" i="9"/>
  <c r="BP45" i="9"/>
  <c r="BQ44" i="9"/>
  <c r="BP44" i="9"/>
  <c r="BQ43" i="9"/>
  <c r="BP43" i="9"/>
  <c r="BQ42" i="9"/>
  <c r="BP42" i="9"/>
  <c r="BQ37" i="9"/>
  <c r="BP37" i="9"/>
  <c r="BQ36" i="9"/>
  <c r="BP36" i="9"/>
  <c r="BQ35" i="9"/>
  <c r="BP35" i="9"/>
  <c r="BQ34" i="9"/>
  <c r="BP34" i="9"/>
  <c r="BQ33" i="9"/>
  <c r="BP33" i="9"/>
  <c r="BQ28" i="9"/>
  <c r="BP28" i="9"/>
  <c r="BQ27" i="9"/>
  <c r="BP27" i="9"/>
  <c r="BQ26" i="9"/>
  <c r="BP26" i="9"/>
  <c r="BQ25" i="9"/>
  <c r="BP25" i="9"/>
  <c r="BQ24" i="9"/>
  <c r="BP24" i="9"/>
  <c r="BQ19" i="9"/>
  <c r="BP19" i="9"/>
  <c r="BQ18" i="9"/>
  <c r="BP18" i="9"/>
  <c r="BQ17" i="9"/>
  <c r="BP17" i="9"/>
  <c r="BQ16" i="9"/>
  <c r="BP16" i="9"/>
  <c r="BQ15" i="9"/>
  <c r="BP15" i="9"/>
  <c r="BQ10" i="9"/>
  <c r="BP10" i="9"/>
  <c r="BQ9" i="9"/>
  <c r="BP9" i="9"/>
  <c r="BQ8" i="9"/>
  <c r="BP8" i="9"/>
  <c r="BQ7" i="9"/>
  <c r="BP7" i="9"/>
  <c r="BQ6" i="9"/>
  <c r="BP6" i="9"/>
  <c r="BO28" i="9"/>
  <c r="BO27" i="9"/>
  <c r="BO26" i="9"/>
  <c r="BO24" i="9"/>
  <c r="BO19" i="9"/>
  <c r="BO18" i="9"/>
  <c r="BO17" i="9"/>
  <c r="BO15" i="9"/>
  <c r="BO90" i="9"/>
  <c r="BN90" i="9"/>
  <c r="BN28" i="9"/>
  <c r="BN27" i="9"/>
  <c r="BN26" i="9"/>
  <c r="BN24" i="9"/>
  <c r="BN19" i="9"/>
  <c r="BN18" i="9"/>
  <c r="BN17" i="9"/>
  <c r="BN15" i="9"/>
  <c r="I7" i="8" l="1"/>
  <c r="BQ22" i="7"/>
  <c r="BP22" i="7"/>
  <c r="BQ19" i="7"/>
  <c r="BP19" i="7"/>
  <c r="BQ18" i="7"/>
  <c r="BP18" i="7"/>
  <c r="BQ16" i="7"/>
  <c r="BP16" i="7"/>
  <c r="BQ14" i="7"/>
  <c r="BP14" i="7"/>
  <c r="BQ13" i="7"/>
  <c r="BP13" i="7"/>
  <c r="BQ12" i="7"/>
  <c r="BP12" i="7"/>
  <c r="BP11" i="7"/>
  <c r="BP10" i="7"/>
  <c r="BQ8" i="7"/>
  <c r="BP8" i="7"/>
  <c r="BQ7" i="7"/>
  <c r="BP7" i="7"/>
  <c r="BQ6" i="7"/>
  <c r="BP6" i="7"/>
  <c r="BO24" i="7"/>
  <c r="BN24" i="7"/>
  <c r="AS24" i="7"/>
  <c r="AR24" i="7"/>
  <c r="U24" i="7"/>
  <c r="T24" i="7"/>
  <c r="AS14" i="1" l="1"/>
  <c r="AS12" i="1"/>
  <c r="AS11" i="1"/>
  <c r="AS10" i="1"/>
  <c r="AS9" i="1"/>
  <c r="AS8" i="1"/>
  <c r="AS6" i="1"/>
  <c r="AS5" i="1"/>
  <c r="AR14" i="1"/>
  <c r="AR12" i="1"/>
  <c r="AR11" i="1"/>
  <c r="AR10" i="1"/>
  <c r="AR9" i="1"/>
  <c r="AR8" i="1"/>
  <c r="AR6" i="1"/>
  <c r="AR5" i="1"/>
  <c r="U6" i="1"/>
  <c r="T6" i="1"/>
  <c r="BA24" i="7" l="1"/>
  <c r="AZ24" i="7"/>
  <c r="Y11" i="7"/>
  <c r="BQ11" i="7" s="1"/>
  <c r="X6" i="1"/>
  <c r="Y6" i="1"/>
  <c r="C34" i="14" l="1"/>
  <c r="B34" i="14"/>
  <c r="L15" i="2" l="1"/>
  <c r="P15" i="2"/>
  <c r="O15" i="2"/>
  <c r="N15" i="2"/>
  <c r="M15" i="2"/>
  <c r="DK9" i="2"/>
  <c r="DJ9" i="2"/>
  <c r="DI9" i="2"/>
  <c r="BO11" i="3" l="1"/>
  <c r="BM11" i="3"/>
  <c r="J7" i="8"/>
  <c r="E5" i="16" l="1"/>
  <c r="AG11" i="6" l="1"/>
  <c r="AF11" i="6"/>
  <c r="AE11" i="6"/>
  <c r="J15" i="16"/>
  <c r="AS35" i="14" l="1"/>
  <c r="AS19" i="14"/>
  <c r="AR35" i="14"/>
  <c r="AR19" i="14"/>
  <c r="AF35" i="14"/>
  <c r="AF19" i="14"/>
  <c r="AG19" i="14"/>
  <c r="BB11" i="2"/>
  <c r="BA11" i="2"/>
  <c r="P7" i="8" l="1"/>
  <c r="L7" i="8"/>
  <c r="W24" i="7"/>
  <c r="W10" i="7"/>
  <c r="BQ10" i="7" s="1"/>
  <c r="V24" i="7"/>
  <c r="AE24" i="7"/>
  <c r="AD24" i="7"/>
  <c r="AE14" i="1"/>
  <c r="AE12" i="1"/>
  <c r="AE11" i="1"/>
  <c r="AE10" i="1"/>
  <c r="AE9" i="1"/>
  <c r="AE8" i="1"/>
  <c r="AE6" i="1"/>
  <c r="AE5" i="1"/>
  <c r="AD14" i="1"/>
  <c r="AD12" i="1"/>
  <c r="AD11" i="1"/>
  <c r="AD10" i="1"/>
  <c r="AD9" i="1"/>
  <c r="AD8" i="1"/>
  <c r="AD6" i="1"/>
  <c r="AD5" i="1"/>
  <c r="BJ24" i="7"/>
  <c r="BK24" i="7"/>
  <c r="AF7" i="8"/>
  <c r="CO19" i="14"/>
  <c r="CN19" i="14"/>
  <c r="CG14" i="3"/>
  <c r="CE14" i="3"/>
  <c r="CE14" i="14"/>
  <c r="AC7" i="8"/>
  <c r="BE24" i="7"/>
  <c r="BD24" i="7"/>
  <c r="AI14" i="1" l="1"/>
  <c r="AI12" i="1"/>
  <c r="AI11" i="1"/>
  <c r="AI10" i="1"/>
  <c r="AH14" i="1"/>
  <c r="AH12" i="1"/>
  <c r="AH11" i="1"/>
  <c r="AH10" i="1"/>
  <c r="AH9" i="1"/>
  <c r="AI9" i="1"/>
  <c r="AI8" i="1"/>
  <c r="AH8" i="1"/>
  <c r="AI6" i="1"/>
  <c r="AH6" i="1"/>
  <c r="AI5" i="1"/>
  <c r="AH5" i="1"/>
  <c r="R7" i="8"/>
  <c r="AI28" i="9"/>
  <c r="AI27" i="9"/>
  <c r="AI26" i="9"/>
  <c r="AI24" i="9"/>
  <c r="AI25" i="11"/>
  <c r="AI24" i="11"/>
  <c r="AI22" i="11"/>
  <c r="AH25" i="11"/>
  <c r="AH24" i="11"/>
  <c r="AH22" i="11"/>
  <c r="DF12" i="6" l="1"/>
  <c r="AW25" i="11" l="1"/>
  <c r="AW24" i="11"/>
  <c r="AW22" i="11"/>
  <c r="AV25" i="11"/>
  <c r="AV24" i="11"/>
  <c r="AV22" i="11"/>
  <c r="AW34" i="10"/>
  <c r="AW33" i="10"/>
  <c r="AW31" i="10"/>
  <c r="AW30" i="10"/>
  <c r="AW29" i="10"/>
  <c r="AW28" i="10"/>
  <c r="AV34" i="10"/>
  <c r="AV33" i="10"/>
  <c r="AV31" i="10"/>
  <c r="AV29" i="10"/>
  <c r="AV28" i="10"/>
  <c r="AA25" i="11"/>
  <c r="AA24" i="11"/>
  <c r="AA22" i="11"/>
  <c r="Z25" i="11"/>
  <c r="Z24" i="11"/>
  <c r="Z22" i="11"/>
  <c r="AA17" i="11"/>
  <c r="AA16" i="11"/>
  <c r="AA14" i="11"/>
  <c r="Z17" i="11"/>
  <c r="Z16" i="11"/>
  <c r="AA34" i="10"/>
  <c r="AA31" i="10"/>
  <c r="AA30" i="10"/>
  <c r="AA29" i="10"/>
  <c r="AA28" i="10"/>
  <c r="Z34" i="10"/>
  <c r="Z31" i="10"/>
  <c r="Z30" i="10"/>
  <c r="Z29" i="10"/>
  <c r="Z28" i="10"/>
  <c r="AA23" i="10"/>
  <c r="AA20" i="10"/>
  <c r="AA19" i="10"/>
  <c r="AA18" i="10"/>
  <c r="AA17" i="10"/>
  <c r="Z23" i="10"/>
  <c r="Z20" i="10"/>
  <c r="Z19" i="10"/>
  <c r="Z18" i="10"/>
  <c r="Z17" i="10"/>
  <c r="AW28" i="9"/>
  <c r="AW27" i="9"/>
  <c r="AW26" i="9"/>
  <c r="AW24" i="9"/>
  <c r="AV24" i="9"/>
  <c r="AV26" i="9"/>
  <c r="AV27" i="9"/>
  <c r="AV28" i="9"/>
  <c r="AA28" i="9"/>
  <c r="AA27" i="9"/>
  <c r="AA26" i="9"/>
  <c r="AA24" i="9"/>
  <c r="Z28" i="9"/>
  <c r="Z27" i="9"/>
  <c r="Z26" i="9"/>
  <c r="Z24" i="9"/>
  <c r="AA19" i="9"/>
  <c r="AA18" i="9"/>
  <c r="AA17" i="9"/>
  <c r="AA15" i="9"/>
  <c r="Z19" i="9"/>
  <c r="Z18" i="9"/>
  <c r="Z17" i="9"/>
  <c r="Z15" i="9"/>
  <c r="AC14" i="18" l="1"/>
  <c r="U11" i="16" l="1"/>
  <c r="Y14" i="18" l="1"/>
  <c r="U14" i="18"/>
  <c r="S14" i="18"/>
  <c r="Y15" i="17"/>
  <c r="U15" i="17"/>
  <c r="S15" i="17"/>
  <c r="AB9" i="13"/>
  <c r="S9" i="13"/>
  <c r="O9" i="13"/>
  <c r="F9" i="13"/>
  <c r="N9" i="13"/>
  <c r="H9" i="18" l="1"/>
  <c r="U14" i="14"/>
  <c r="U19" i="14"/>
  <c r="T14" i="14"/>
  <c r="T19" i="14"/>
  <c r="F34" i="14"/>
  <c r="F18" i="14"/>
  <c r="S7" i="8"/>
  <c r="H7" i="8"/>
  <c r="C14" i="8"/>
  <c r="AB7" i="8"/>
  <c r="Q7" i="8"/>
  <c r="O14" i="8"/>
  <c r="N7" i="8"/>
  <c r="AK24" i="7"/>
  <c r="BC20" i="7" l="1"/>
  <c r="BQ20" i="7" s="1"/>
  <c r="AC24" i="7"/>
  <c r="AB24" i="7"/>
  <c r="AA24" i="7"/>
  <c r="Z24" i="7"/>
  <c r="BC14" i="1"/>
  <c r="BC12" i="1"/>
  <c r="BC11" i="1"/>
  <c r="BC10" i="1"/>
  <c r="BC9" i="1"/>
  <c r="BC8" i="1"/>
  <c r="BC6" i="1"/>
  <c r="BC5" i="1"/>
  <c r="BB14" i="1"/>
  <c r="BB12" i="1"/>
  <c r="BB11" i="1"/>
  <c r="BB10" i="1"/>
  <c r="BB9" i="1"/>
  <c r="BB8" i="1"/>
  <c r="BB6" i="1"/>
  <c r="BB5" i="1"/>
  <c r="O14" i="1"/>
  <c r="O12" i="1"/>
  <c r="O11" i="1"/>
  <c r="O10" i="1"/>
  <c r="O9" i="1"/>
  <c r="O8" i="1"/>
  <c r="O6" i="1"/>
  <c r="O5" i="1"/>
  <c r="N14" i="1"/>
  <c r="N12" i="1"/>
  <c r="N11" i="1"/>
  <c r="N10" i="1"/>
  <c r="N9" i="1"/>
  <c r="N8" i="1"/>
  <c r="N6" i="1"/>
  <c r="N5" i="1"/>
  <c r="G7" i="8" l="1"/>
  <c r="G11" i="18" l="1"/>
  <c r="AM19" i="14" l="1"/>
  <c r="AL19" i="14"/>
  <c r="R35" i="14"/>
  <c r="R19" i="14"/>
  <c r="Q35" i="14"/>
  <c r="Q19" i="14"/>
  <c r="AB11" i="16"/>
  <c r="O13" i="18" l="1"/>
  <c r="BC11" i="6" l="1"/>
  <c r="BD11" i="6"/>
  <c r="BE11" i="6"/>
  <c r="BB11" i="6"/>
  <c r="BE35" i="14" l="1"/>
  <c r="BE19" i="14"/>
  <c r="BD19" i="14"/>
  <c r="BW35" i="14" l="1"/>
  <c r="BW19" i="14"/>
  <c r="BV35" i="14"/>
  <c r="BV19" i="14"/>
  <c r="Z7" i="8" l="1"/>
  <c r="AY24" i="7"/>
  <c r="BQ24" i="7" s="1"/>
  <c r="AX24" i="7"/>
  <c r="BP24" i="7" s="1"/>
  <c r="AX20" i="7"/>
  <c r="BP20" i="7" s="1"/>
  <c r="AY14" i="1"/>
  <c r="BQ14" i="1" s="1"/>
  <c r="AY12" i="1"/>
  <c r="BQ12" i="1" s="1"/>
  <c r="AY11" i="1"/>
  <c r="BQ11" i="1" s="1"/>
  <c r="AY10" i="1"/>
  <c r="BQ10" i="1" s="1"/>
  <c r="AY9" i="1"/>
  <c r="BQ9" i="1" s="1"/>
  <c r="AY8" i="1"/>
  <c r="BQ8" i="1" s="1"/>
  <c r="AY6" i="1"/>
  <c r="BQ6" i="1" s="1"/>
  <c r="AY5" i="1"/>
  <c r="BQ5" i="1" s="1"/>
  <c r="AX14" i="1"/>
  <c r="BP14" i="1" s="1"/>
  <c r="AX12" i="1"/>
  <c r="BP12" i="1" s="1"/>
  <c r="AX11" i="1"/>
  <c r="BP11" i="1" s="1"/>
  <c r="AX10" i="1"/>
  <c r="BP10" i="1" s="1"/>
  <c r="AX9" i="1"/>
  <c r="BP9" i="1" s="1"/>
  <c r="AX8" i="1"/>
  <c r="BP8" i="1" s="1"/>
  <c r="AX6" i="1"/>
  <c r="BP6" i="1" s="1"/>
  <c r="AX5" i="1"/>
  <c r="BP5" i="1" s="1"/>
  <c r="FJ15" i="2" l="1"/>
  <c r="FI15" i="2"/>
  <c r="FH15" i="2"/>
  <c r="FG15" i="2"/>
  <c r="FF15" i="2"/>
  <c r="EZ15" i="2"/>
  <c r="EY15" i="2"/>
  <c r="EX15" i="2"/>
  <c r="EW15" i="2"/>
  <c r="EV15" i="2"/>
  <c r="EK15" i="2" l="1"/>
  <c r="EJ15" i="2"/>
  <c r="EI15" i="2"/>
  <c r="EH15" i="2"/>
  <c r="EG15" i="2"/>
  <c r="EU15" i="2" l="1"/>
  <c r="ET15" i="2"/>
  <c r="ES15" i="2"/>
  <c r="ER15" i="2"/>
  <c r="EQ15" i="2"/>
  <c r="CA23" i="14" l="1"/>
  <c r="CC20" i="14"/>
  <c r="EF15" i="2"/>
  <c r="EE15" i="2"/>
  <c r="ED15" i="2"/>
  <c r="EC15" i="2"/>
  <c r="EB15" i="2"/>
  <c r="EA15" i="2"/>
  <c r="DZ15" i="2"/>
  <c r="DY15" i="2"/>
  <c r="DX15" i="2"/>
  <c r="DW15" i="2"/>
  <c r="DQ15" i="2"/>
  <c r="DP15" i="2"/>
  <c r="DO15" i="2"/>
  <c r="DN15" i="2"/>
  <c r="DM15" i="2"/>
  <c r="CC15" i="2"/>
  <c r="CB15" i="2"/>
  <c r="CA15" i="2"/>
  <c r="BZ15" i="2"/>
  <c r="BY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M14" i="8" l="1"/>
  <c r="EP15" i="2" l="1"/>
  <c r="EO15" i="2"/>
  <c r="EN15" i="2"/>
  <c r="EM15" i="2"/>
  <c r="EL15" i="2"/>
  <c r="CR15" i="2"/>
  <c r="CQ15" i="2"/>
  <c r="CP15" i="2"/>
  <c r="CO15" i="2"/>
  <c r="CN15" i="2"/>
  <c r="CM15" i="2"/>
  <c r="CL15" i="2"/>
  <c r="CK15" i="2"/>
  <c r="CJ15" i="2"/>
  <c r="CI15" i="2"/>
  <c r="CG15" i="2"/>
  <c r="CH15" i="2"/>
  <c r="CF15" i="2"/>
  <c r="CE15" i="2"/>
  <c r="CD15" i="2"/>
  <c r="BX15" i="2"/>
  <c r="BW15" i="2"/>
  <c r="BV15" i="2"/>
  <c r="BU15" i="2"/>
  <c r="BT15" i="2"/>
  <c r="BD15" i="2"/>
  <c r="BC15" i="2"/>
  <c r="BB15" i="2"/>
  <c r="BA15" i="2"/>
  <c r="AZ15" i="2"/>
  <c r="EC15" i="6" l="1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I15" i="6"/>
  <c r="H15" i="6"/>
  <c r="G15" i="6"/>
  <c r="F15" i="6"/>
  <c r="E15" i="6"/>
  <c r="D15" i="6"/>
  <c r="C15" i="6"/>
  <c r="B15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I12" i="6"/>
  <c r="H12" i="6"/>
  <c r="G12" i="6"/>
  <c r="F12" i="6"/>
  <c r="E12" i="6"/>
  <c r="D12" i="6"/>
  <c r="C12" i="6"/>
  <c r="B12" i="6"/>
  <c r="CU14" i="3"/>
  <c r="CR14" i="3"/>
  <c r="CO14" i="3"/>
  <c r="CL14" i="3"/>
  <c r="CI14" i="3"/>
  <c r="CF14" i="3"/>
  <c r="CC14" i="3"/>
  <c r="BZ14" i="3"/>
  <c r="BW14" i="3"/>
  <c r="BT14" i="3"/>
  <c r="BQ14" i="3"/>
  <c r="BN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14" i="3"/>
  <c r="CU13" i="3"/>
  <c r="CR13" i="3"/>
  <c r="CO13" i="3"/>
  <c r="CL13" i="3"/>
  <c r="CI13" i="3"/>
  <c r="CF13" i="3"/>
  <c r="CC13" i="3"/>
  <c r="BZ13" i="3"/>
  <c r="BW13" i="3"/>
  <c r="BT13" i="3"/>
  <c r="BQ13" i="3"/>
  <c r="BN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13" i="3"/>
  <c r="CU12" i="3"/>
  <c r="CR12" i="3"/>
  <c r="CO12" i="3"/>
  <c r="CL12" i="3"/>
  <c r="CI12" i="3"/>
  <c r="CF12" i="3"/>
  <c r="CC12" i="3"/>
  <c r="BZ12" i="3"/>
  <c r="BW12" i="3"/>
  <c r="BT12" i="3"/>
  <c r="BQ12" i="3"/>
  <c r="BN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12" i="3"/>
  <c r="CU11" i="3"/>
  <c r="CR11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11" i="3"/>
  <c r="CU10" i="3"/>
  <c r="CR10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10" i="3"/>
  <c r="CU9" i="3"/>
  <c r="CR9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9" i="3"/>
  <c r="CU8" i="3"/>
  <c r="CR8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8" i="3"/>
  <c r="CU7" i="3"/>
  <c r="CR7" i="3"/>
  <c r="CO7" i="3"/>
  <c r="CL7" i="3"/>
  <c r="CI7" i="3"/>
  <c r="CF7" i="3"/>
  <c r="CC7" i="3"/>
  <c r="BZ7" i="3"/>
  <c r="BW7" i="3"/>
  <c r="BT7" i="3"/>
  <c r="BQ7" i="3"/>
  <c r="BN7" i="3"/>
  <c r="BK7" i="3"/>
  <c r="BH7" i="3"/>
  <c r="BE7" i="3"/>
  <c r="BB7" i="3"/>
  <c r="AY7" i="3"/>
  <c r="AV7" i="3"/>
  <c r="AS7" i="3"/>
  <c r="AP7" i="3"/>
  <c r="AM7" i="3"/>
  <c r="AJ7" i="3"/>
  <c r="AG7" i="3"/>
  <c r="AD7" i="3"/>
  <c r="AA7" i="3"/>
  <c r="X7" i="3"/>
  <c r="U7" i="3"/>
  <c r="R7" i="3"/>
  <c r="O7" i="3"/>
  <c r="L7" i="3"/>
  <c r="I7" i="3"/>
  <c r="F7" i="3"/>
  <c r="C7" i="3"/>
  <c r="CU6" i="3"/>
  <c r="CR6" i="3"/>
  <c r="CO6" i="3"/>
  <c r="CL6" i="3"/>
  <c r="CI6" i="3"/>
  <c r="CF6" i="3"/>
  <c r="CC6" i="3"/>
  <c r="BZ6" i="3"/>
  <c r="BW6" i="3"/>
  <c r="BT6" i="3"/>
  <c r="BQ6" i="3"/>
  <c r="BN6" i="3"/>
  <c r="BK6" i="3"/>
  <c r="BH6" i="3"/>
  <c r="BE6" i="3"/>
  <c r="BB6" i="3"/>
  <c r="AY6" i="3"/>
  <c r="AV6" i="3"/>
  <c r="AS6" i="3"/>
  <c r="AP6" i="3"/>
  <c r="AM6" i="3"/>
  <c r="AJ6" i="3"/>
  <c r="AG6" i="3"/>
  <c r="AD6" i="3"/>
  <c r="AA6" i="3"/>
  <c r="X6" i="3"/>
  <c r="U6" i="3"/>
  <c r="R6" i="3"/>
  <c r="O6" i="3"/>
  <c r="L6" i="3"/>
  <c r="I6" i="3"/>
  <c r="F6" i="3"/>
  <c r="C6" i="3"/>
  <c r="CU5" i="3"/>
  <c r="CR5" i="3"/>
  <c r="CO5" i="3"/>
  <c r="CL5" i="3"/>
  <c r="CI5" i="3"/>
  <c r="CF5" i="3"/>
  <c r="CC5" i="3"/>
  <c r="BZ5" i="3"/>
  <c r="BW5" i="3"/>
  <c r="BT5" i="3"/>
  <c r="BQ5" i="3"/>
  <c r="BN5" i="3"/>
  <c r="BK5" i="3"/>
  <c r="BH5" i="3"/>
  <c r="BE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DV15" i="2"/>
  <c r="DU15" i="2"/>
  <c r="DT15" i="2"/>
  <c r="DS15" i="2"/>
  <c r="DR15" i="2"/>
  <c r="DG15" i="2"/>
  <c r="DF15" i="2"/>
  <c r="DE15" i="2"/>
  <c r="DD15" i="2"/>
  <c r="DC15" i="2"/>
  <c r="CW15" i="2"/>
  <c r="CV15" i="2"/>
  <c r="CU15" i="2"/>
  <c r="CT15" i="2"/>
  <c r="CS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K15" i="2"/>
  <c r="J15" i="2"/>
  <c r="I15" i="2"/>
  <c r="H15" i="2"/>
  <c r="F15" i="2"/>
  <c r="E15" i="2"/>
  <c r="D15" i="2"/>
  <c r="C15" i="2"/>
  <c r="B15" i="2"/>
  <c r="AH14" i="18"/>
  <c r="AG14" i="18"/>
  <c r="AF14" i="18"/>
  <c r="AE14" i="18"/>
  <c r="AD14" i="18"/>
  <c r="AB14" i="18"/>
  <c r="AA14" i="18"/>
  <c r="Z14" i="18"/>
  <c r="W14" i="18"/>
  <c r="V14" i="18"/>
  <c r="T14" i="18"/>
  <c r="R14" i="18"/>
  <c r="Q14" i="18"/>
  <c r="P14" i="18"/>
  <c r="O14" i="18"/>
  <c r="N14" i="18"/>
  <c r="M14" i="18"/>
  <c r="L14" i="18"/>
  <c r="J14" i="18"/>
  <c r="I14" i="18"/>
  <c r="F14" i="18"/>
  <c r="E14" i="18"/>
  <c r="C14" i="18"/>
  <c r="B14" i="18"/>
  <c r="G14" i="18"/>
  <c r="H14" i="18"/>
  <c r="AH15" i="17"/>
  <c r="AG15" i="17"/>
  <c r="AF15" i="17"/>
  <c r="AE15" i="17"/>
  <c r="AD15" i="17"/>
  <c r="AC15" i="17"/>
  <c r="AB15" i="17"/>
  <c r="AA15" i="17"/>
  <c r="Z15" i="17"/>
  <c r="W15" i="17"/>
  <c r="V15" i="17"/>
  <c r="T15" i="17"/>
  <c r="R15" i="17"/>
  <c r="Q15" i="17"/>
  <c r="P15" i="17"/>
  <c r="O15" i="17"/>
  <c r="N15" i="17"/>
  <c r="M15" i="17"/>
  <c r="L15" i="17"/>
  <c r="J15" i="17"/>
  <c r="I15" i="17"/>
  <c r="H15" i="17"/>
  <c r="G15" i="17"/>
  <c r="F15" i="17"/>
  <c r="E15" i="17"/>
  <c r="D15" i="17"/>
  <c r="C15" i="17"/>
  <c r="B15" i="17"/>
  <c r="AG19" i="16"/>
  <c r="AF19" i="16"/>
  <c r="AE19" i="16"/>
  <c r="AD19" i="16"/>
  <c r="AC19" i="16"/>
  <c r="AB19" i="16"/>
  <c r="AA19" i="16"/>
  <c r="Z19" i="16"/>
  <c r="Y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J19" i="16"/>
  <c r="I19" i="16"/>
  <c r="H19" i="16"/>
  <c r="G19" i="16"/>
  <c r="F19" i="16"/>
  <c r="E19" i="16"/>
  <c r="D19" i="16"/>
  <c r="C19" i="16"/>
  <c r="B19" i="16"/>
  <c r="AI18" i="16"/>
  <c r="AI17" i="16"/>
  <c r="AI16" i="16"/>
  <c r="AF15" i="16"/>
  <c r="AE15" i="16"/>
  <c r="AD15" i="16"/>
  <c r="AC15" i="16"/>
  <c r="AB15" i="16"/>
  <c r="AA15" i="16"/>
  <c r="Z15" i="16"/>
  <c r="Y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I15" i="16"/>
  <c r="H15" i="16"/>
  <c r="G15" i="16"/>
  <c r="F15" i="16"/>
  <c r="E15" i="16"/>
  <c r="D15" i="16"/>
  <c r="C15" i="16"/>
  <c r="B15" i="16"/>
  <c r="AI14" i="16"/>
  <c r="AI13" i="16"/>
  <c r="AI12" i="16"/>
  <c r="AI11" i="16"/>
  <c r="AI10" i="16"/>
  <c r="AI9" i="16"/>
  <c r="AI8" i="16"/>
  <c r="AI7" i="16"/>
  <c r="AI6" i="16"/>
  <c r="AI5" i="16"/>
  <c r="AI4" i="16"/>
  <c r="AH32" i="15"/>
  <c r="AG32" i="15"/>
  <c r="AF32" i="15"/>
  <c r="AE32" i="15"/>
  <c r="AD32" i="15"/>
  <c r="AC32" i="15"/>
  <c r="AB32" i="15"/>
  <c r="AA32" i="15"/>
  <c r="Z32" i="15"/>
  <c r="Y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I31" i="15"/>
  <c r="AI30" i="15"/>
  <c r="AH28" i="15"/>
  <c r="AG28" i="15"/>
  <c r="AF28" i="15"/>
  <c r="AE28" i="15"/>
  <c r="AD28" i="15"/>
  <c r="AC28" i="15"/>
  <c r="AB28" i="15"/>
  <c r="AA28" i="15"/>
  <c r="Z28" i="15"/>
  <c r="Y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I27" i="15"/>
  <c r="AI26" i="15"/>
  <c r="AI25" i="15"/>
  <c r="AI24" i="15"/>
  <c r="AI23" i="15"/>
  <c r="AI22" i="15"/>
  <c r="AI21" i="15"/>
  <c r="AH19" i="15"/>
  <c r="AG19" i="15"/>
  <c r="AF19" i="15"/>
  <c r="AE19" i="15"/>
  <c r="AD19" i="15"/>
  <c r="AC19" i="15"/>
  <c r="AB19" i="15"/>
  <c r="AA19" i="15"/>
  <c r="Z19" i="15"/>
  <c r="Y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I18" i="15"/>
  <c r="AI17" i="15"/>
  <c r="AI16" i="15"/>
  <c r="AI15" i="15"/>
  <c r="AI14" i="15"/>
  <c r="AH12" i="15"/>
  <c r="AG12" i="15"/>
  <c r="AF12" i="15"/>
  <c r="AE12" i="15"/>
  <c r="AD12" i="15"/>
  <c r="AC12" i="15"/>
  <c r="AB12" i="15"/>
  <c r="AA12" i="15"/>
  <c r="Z12" i="15"/>
  <c r="Y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I11" i="15"/>
  <c r="AI10" i="15"/>
  <c r="AI9" i="15"/>
  <c r="AI8" i="15"/>
  <c r="AI7" i="15"/>
  <c r="AI6" i="15"/>
  <c r="AI5" i="15"/>
  <c r="BY37" i="14"/>
  <c r="CU36" i="14"/>
  <c r="CT36" i="14"/>
  <c r="CR36" i="14"/>
  <c r="CR37" i="14" s="1"/>
  <c r="CQ36" i="14"/>
  <c r="CO36" i="14"/>
  <c r="CN36" i="14"/>
  <c r="CL36" i="14"/>
  <c r="CK36" i="14"/>
  <c r="CI36" i="14"/>
  <c r="CH36" i="14"/>
  <c r="CF36" i="14"/>
  <c r="CE36" i="14"/>
  <c r="CC36" i="14"/>
  <c r="CC37" i="14" s="1"/>
  <c r="CB36" i="14"/>
  <c r="BZ36" i="14"/>
  <c r="BY36" i="14"/>
  <c r="BW36" i="14"/>
  <c r="BV36" i="14"/>
  <c r="BT36" i="14"/>
  <c r="BS36" i="14"/>
  <c r="BQ36" i="14"/>
  <c r="BP36" i="14"/>
  <c r="BP37" i="14" s="1"/>
  <c r="BN36" i="14"/>
  <c r="BM36" i="14"/>
  <c r="BK36" i="14"/>
  <c r="BJ36" i="14"/>
  <c r="BJ37" i="14" s="1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P36" i="14"/>
  <c r="AO36" i="14"/>
  <c r="AM36" i="14"/>
  <c r="AL36" i="14"/>
  <c r="AJ36" i="14"/>
  <c r="AI36" i="14"/>
  <c r="AG36" i="14"/>
  <c r="AF36" i="14"/>
  <c r="AD36" i="14"/>
  <c r="AC36" i="14"/>
  <c r="AA36" i="14"/>
  <c r="Z36" i="14"/>
  <c r="X36" i="14"/>
  <c r="W36" i="14"/>
  <c r="U36" i="14"/>
  <c r="T36" i="14"/>
  <c r="R36" i="14"/>
  <c r="Q36" i="14"/>
  <c r="O36" i="14"/>
  <c r="N36" i="14"/>
  <c r="L36" i="14"/>
  <c r="K36" i="14"/>
  <c r="I36" i="14"/>
  <c r="H36" i="14"/>
  <c r="H37" i="14" s="1"/>
  <c r="F36" i="14"/>
  <c r="E36" i="14"/>
  <c r="C36" i="14"/>
  <c r="B36" i="14"/>
  <c r="CV35" i="14"/>
  <c r="CP35" i="14"/>
  <c r="CM35" i="14"/>
  <c r="CJ35" i="14"/>
  <c r="CG35" i="14"/>
  <c r="CD35" i="14"/>
  <c r="BX35" i="14"/>
  <c r="BU35" i="14"/>
  <c r="BR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M35" i="14"/>
  <c r="G35" i="14"/>
  <c r="D35" i="14"/>
  <c r="CV34" i="14"/>
  <c r="CP34" i="14"/>
  <c r="CM34" i="14"/>
  <c r="CJ34" i="14"/>
  <c r="CG34" i="14"/>
  <c r="CD34" i="14"/>
  <c r="BX34" i="14"/>
  <c r="BU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G34" i="14"/>
  <c r="D34" i="14"/>
  <c r="CV33" i="14"/>
  <c r="CS33" i="14"/>
  <c r="CP33" i="14"/>
  <c r="CM33" i="14"/>
  <c r="CJ33" i="14"/>
  <c r="CG33" i="14"/>
  <c r="CD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V32" i="14"/>
  <c r="CS32" i="14"/>
  <c r="CP32" i="14"/>
  <c r="CM32" i="14"/>
  <c r="CJ32" i="14"/>
  <c r="CG32" i="14"/>
  <c r="CD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CV31" i="14"/>
  <c r="CS31" i="14"/>
  <c r="CP31" i="14"/>
  <c r="CM31" i="14"/>
  <c r="CJ31" i="14"/>
  <c r="CG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V30" i="14"/>
  <c r="CS30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V29" i="14"/>
  <c r="CP29" i="14"/>
  <c r="CM29" i="14"/>
  <c r="CJ29" i="14"/>
  <c r="CG29" i="14"/>
  <c r="CD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V28" i="14"/>
  <c r="CP28" i="14"/>
  <c r="CM28" i="14"/>
  <c r="CJ28" i="14"/>
  <c r="CG28" i="14"/>
  <c r="CD28" i="14"/>
  <c r="BX28" i="14"/>
  <c r="BU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V27" i="14"/>
  <c r="CS27" i="14"/>
  <c r="CP27" i="14"/>
  <c r="CM27" i="14"/>
  <c r="CJ27" i="14"/>
  <c r="CG27" i="14"/>
  <c r="CD27" i="14"/>
  <c r="CA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V26" i="14"/>
  <c r="CS26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V25" i="14"/>
  <c r="CS25" i="14"/>
  <c r="CP25" i="14"/>
  <c r="CM25" i="14"/>
  <c r="CJ25" i="14"/>
  <c r="CG25" i="14"/>
  <c r="CD25" i="14"/>
  <c r="CA25" i="14"/>
  <c r="CA36" i="14" s="1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V24" i="14"/>
  <c r="CS24" i="14"/>
  <c r="CP24" i="14"/>
  <c r="CM24" i="14"/>
  <c r="CJ24" i="14"/>
  <c r="CG24" i="14"/>
  <c r="CD24" i="14"/>
  <c r="CA24" i="14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V23" i="14"/>
  <c r="CS23" i="14"/>
  <c r="CM23" i="14"/>
  <c r="CJ23" i="14"/>
  <c r="CG23" i="14"/>
  <c r="CD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V22" i="14"/>
  <c r="CP22" i="14"/>
  <c r="CM22" i="14"/>
  <c r="CJ22" i="14"/>
  <c r="CG22" i="14"/>
  <c r="CD22" i="14"/>
  <c r="BX22" i="14"/>
  <c r="BU22" i="14"/>
  <c r="BO22" i="14"/>
  <c r="BL22" i="14"/>
  <c r="BI22" i="14"/>
  <c r="BF22" i="14"/>
  <c r="BC22" i="14"/>
  <c r="AZ22" i="14"/>
  <c r="AW22" i="14"/>
  <c r="AT22" i="14"/>
  <c r="AQ22" i="14"/>
  <c r="AN22" i="14"/>
  <c r="AK22" i="14"/>
  <c r="AH22" i="14"/>
  <c r="AE22" i="14"/>
  <c r="AB22" i="14"/>
  <c r="Y22" i="14"/>
  <c r="V22" i="14"/>
  <c r="S22" i="14"/>
  <c r="P22" i="14"/>
  <c r="M22" i="14"/>
  <c r="G22" i="14"/>
  <c r="D22" i="14"/>
  <c r="CU20" i="14"/>
  <c r="CT20" i="14"/>
  <c r="CR20" i="14"/>
  <c r="CQ20" i="14"/>
  <c r="CO20" i="14"/>
  <c r="CO37" i="14" s="1"/>
  <c r="CN20" i="14"/>
  <c r="CL20" i="14"/>
  <c r="CK20" i="14"/>
  <c r="CI20" i="14"/>
  <c r="CH20" i="14"/>
  <c r="CF20" i="14"/>
  <c r="CE20" i="14"/>
  <c r="CB20" i="14"/>
  <c r="BZ20" i="14"/>
  <c r="BY20" i="14"/>
  <c r="BW20" i="14"/>
  <c r="BV20" i="14"/>
  <c r="BT20" i="14"/>
  <c r="BT37" i="14" s="1"/>
  <c r="BS20" i="14"/>
  <c r="BQ20" i="14"/>
  <c r="BP20" i="14"/>
  <c r="BN20" i="14"/>
  <c r="BN37" i="14" s="1"/>
  <c r="BM20" i="14"/>
  <c r="BK20" i="14"/>
  <c r="BJ20" i="14"/>
  <c r="BH20" i="14"/>
  <c r="BG20" i="14"/>
  <c r="BE20" i="14"/>
  <c r="BD20" i="14"/>
  <c r="BB20" i="14"/>
  <c r="BA20" i="14"/>
  <c r="BA37" i="14" s="1"/>
  <c r="AY20" i="14"/>
  <c r="AX20" i="14"/>
  <c r="AV20" i="14"/>
  <c r="AU20" i="14"/>
  <c r="AS20" i="14"/>
  <c r="AR20" i="14"/>
  <c r="AP20" i="14"/>
  <c r="AO20" i="14"/>
  <c r="AM20" i="14"/>
  <c r="AL20" i="14"/>
  <c r="AJ20" i="14"/>
  <c r="AI20" i="14"/>
  <c r="AI37" i="14" s="1"/>
  <c r="AG20" i="14"/>
  <c r="AF20" i="14"/>
  <c r="AD20" i="14"/>
  <c r="AC20" i="14"/>
  <c r="AA20" i="14"/>
  <c r="Z20" i="14"/>
  <c r="X20" i="14"/>
  <c r="W20" i="14"/>
  <c r="U20" i="14"/>
  <c r="T20" i="14"/>
  <c r="R20" i="14"/>
  <c r="Q20" i="14"/>
  <c r="O20" i="14"/>
  <c r="N20" i="14"/>
  <c r="L20" i="14"/>
  <c r="K20" i="14"/>
  <c r="K37" i="14" s="1"/>
  <c r="I20" i="14"/>
  <c r="H20" i="14"/>
  <c r="F20" i="14"/>
  <c r="E20" i="14"/>
  <c r="C20" i="14"/>
  <c r="C37" i="14" s="1"/>
  <c r="B20" i="14"/>
  <c r="B37" i="14" s="1"/>
  <c r="CV19" i="14"/>
  <c r="CP19" i="14"/>
  <c r="CM19" i="14"/>
  <c r="CJ19" i="14"/>
  <c r="CG19" i="14"/>
  <c r="CD19" i="14"/>
  <c r="BX19" i="14"/>
  <c r="BU19" i="14"/>
  <c r="BR19" i="14"/>
  <c r="BO19" i="14"/>
  <c r="BL19" i="14"/>
  <c r="BI19" i="14"/>
  <c r="BF19" i="14"/>
  <c r="BC19" i="14"/>
  <c r="AZ19" i="14"/>
  <c r="AW19" i="14"/>
  <c r="AT19" i="14"/>
  <c r="AQ19" i="14"/>
  <c r="AN19" i="14"/>
  <c r="AK19" i="14"/>
  <c r="AH19" i="14"/>
  <c r="AE19" i="14"/>
  <c r="AB19" i="14"/>
  <c r="Y19" i="14"/>
  <c r="V19" i="14"/>
  <c r="S19" i="14"/>
  <c r="P19" i="14"/>
  <c r="M19" i="14"/>
  <c r="G19" i="14"/>
  <c r="D19" i="14"/>
  <c r="CV18" i="14"/>
  <c r="CP18" i="14"/>
  <c r="CM18" i="14"/>
  <c r="CJ18" i="14"/>
  <c r="CG18" i="14"/>
  <c r="CD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G18" i="14"/>
  <c r="D18" i="14"/>
  <c r="CV17" i="14"/>
  <c r="CS17" i="14"/>
  <c r="CP17" i="14"/>
  <c r="CM17" i="14"/>
  <c r="CJ17" i="14"/>
  <c r="CG17" i="14"/>
  <c r="CD17" i="14"/>
  <c r="CA17" i="14"/>
  <c r="BX17" i="14"/>
  <c r="BU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V16" i="14"/>
  <c r="CS16" i="14"/>
  <c r="CP16" i="14"/>
  <c r="CM16" i="14"/>
  <c r="CJ16" i="14"/>
  <c r="CG16" i="14"/>
  <c r="CD16" i="14"/>
  <c r="CA16" i="14"/>
  <c r="BX16" i="14"/>
  <c r="BU16" i="14"/>
  <c r="BO16" i="14"/>
  <c r="BL16" i="14"/>
  <c r="BI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V15" i="14"/>
  <c r="CS15" i="14"/>
  <c r="CP15" i="14"/>
  <c r="CM15" i="14"/>
  <c r="CJ15" i="14"/>
  <c r="CG15" i="14"/>
  <c r="CD15" i="14"/>
  <c r="CA15" i="14"/>
  <c r="BX15" i="14"/>
  <c r="BU15" i="14"/>
  <c r="BR15" i="14"/>
  <c r="BO15" i="14"/>
  <c r="BL15" i="14"/>
  <c r="BI15" i="14"/>
  <c r="BF15" i="14"/>
  <c r="BC15" i="14"/>
  <c r="AZ15" i="14"/>
  <c r="AW15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V14" i="14"/>
  <c r="CS14" i="14"/>
  <c r="CP14" i="14"/>
  <c r="CM14" i="14"/>
  <c r="CJ14" i="14"/>
  <c r="CG14" i="14"/>
  <c r="CD14" i="14"/>
  <c r="CA14" i="14"/>
  <c r="BX14" i="14"/>
  <c r="BU14" i="14"/>
  <c r="BO14" i="14"/>
  <c r="BL14" i="14"/>
  <c r="BI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V13" i="14"/>
  <c r="CP13" i="14"/>
  <c r="CM13" i="14"/>
  <c r="CJ13" i="14"/>
  <c r="CG13" i="14"/>
  <c r="CD13" i="14"/>
  <c r="BX13" i="14"/>
  <c r="BU13" i="14"/>
  <c r="BO13" i="14"/>
  <c r="BL13" i="14"/>
  <c r="BI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V12" i="14"/>
  <c r="CS12" i="14"/>
  <c r="CP12" i="14"/>
  <c r="CM12" i="14"/>
  <c r="CJ12" i="14"/>
  <c r="CG12" i="14"/>
  <c r="CD12" i="14"/>
  <c r="CA12" i="14"/>
  <c r="BX12" i="14"/>
  <c r="BU12" i="14"/>
  <c r="BO12" i="14"/>
  <c r="BL12" i="14"/>
  <c r="BI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V11" i="14"/>
  <c r="CS11" i="14"/>
  <c r="CP11" i="14"/>
  <c r="CM11" i="14"/>
  <c r="CJ11" i="14"/>
  <c r="CG11" i="14"/>
  <c r="CD11" i="14"/>
  <c r="CA11" i="14"/>
  <c r="BX11" i="14"/>
  <c r="BU11" i="14"/>
  <c r="BO11" i="14"/>
  <c r="BL11" i="14"/>
  <c r="BI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V10" i="14"/>
  <c r="CP10" i="14"/>
  <c r="CM10" i="14"/>
  <c r="CJ10" i="14"/>
  <c r="CG10" i="14"/>
  <c r="CD10" i="14"/>
  <c r="BX10" i="14"/>
  <c r="BU10" i="14"/>
  <c r="BO10" i="14"/>
  <c r="BL10" i="14"/>
  <c r="BI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V9" i="14"/>
  <c r="CS9" i="14"/>
  <c r="CP9" i="14"/>
  <c r="CM9" i="14"/>
  <c r="CJ9" i="14"/>
  <c r="CG9" i="14"/>
  <c r="CD9" i="14"/>
  <c r="CA9" i="14"/>
  <c r="BX9" i="14"/>
  <c r="BU9" i="14"/>
  <c r="BR9" i="14"/>
  <c r="BO9" i="14"/>
  <c r="BL9" i="14"/>
  <c r="BI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V8" i="14"/>
  <c r="CS8" i="14"/>
  <c r="CP8" i="14"/>
  <c r="CM8" i="14"/>
  <c r="CJ8" i="14"/>
  <c r="CG8" i="14"/>
  <c r="CD8" i="14"/>
  <c r="CA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J20" i="14" s="1"/>
  <c r="G8" i="14"/>
  <c r="D8" i="14"/>
  <c r="CV7" i="14"/>
  <c r="CS7" i="14"/>
  <c r="CP7" i="14"/>
  <c r="CM7" i="14"/>
  <c r="CJ7" i="14"/>
  <c r="CG7" i="14"/>
  <c r="CD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V6" i="14"/>
  <c r="CP6" i="14"/>
  <c r="CM6" i="14"/>
  <c r="CJ6" i="14"/>
  <c r="CG6" i="14"/>
  <c r="CD6" i="14"/>
  <c r="BX6" i="14"/>
  <c r="BU6" i="14"/>
  <c r="BO6" i="14"/>
  <c r="BL6" i="14"/>
  <c r="BI6" i="14"/>
  <c r="BF6" i="14"/>
  <c r="BC6" i="14"/>
  <c r="AZ6" i="14"/>
  <c r="AW6" i="14"/>
  <c r="AT6" i="14"/>
  <c r="AQ6" i="14"/>
  <c r="AN6" i="14"/>
  <c r="AK6" i="14"/>
  <c r="AH6" i="14"/>
  <c r="AE6" i="14"/>
  <c r="AB6" i="14"/>
  <c r="Y6" i="14"/>
  <c r="V6" i="14"/>
  <c r="S6" i="14"/>
  <c r="P6" i="14"/>
  <c r="M6" i="14"/>
  <c r="G6" i="14"/>
  <c r="D6" i="14"/>
  <c r="AI11" i="13"/>
  <c r="AI10" i="13"/>
  <c r="AH9" i="13"/>
  <c r="AG9" i="13"/>
  <c r="AF9" i="13"/>
  <c r="AE9" i="13"/>
  <c r="AD9" i="13"/>
  <c r="AC9" i="13"/>
  <c r="AA9" i="13"/>
  <c r="Z9" i="13"/>
  <c r="Y9" i="13"/>
  <c r="V9" i="13"/>
  <c r="U9" i="13"/>
  <c r="T9" i="13"/>
  <c r="R9" i="13"/>
  <c r="Q9" i="13"/>
  <c r="P9" i="13"/>
  <c r="M9" i="13"/>
  <c r="L9" i="13"/>
  <c r="J9" i="13"/>
  <c r="I9" i="13"/>
  <c r="H9" i="13"/>
  <c r="G9" i="13"/>
  <c r="E9" i="13"/>
  <c r="D9" i="13"/>
  <c r="C9" i="13"/>
  <c r="B9" i="13"/>
  <c r="AI8" i="13"/>
  <c r="AI7" i="13"/>
  <c r="AI6" i="13"/>
  <c r="AI5" i="13"/>
  <c r="AI4" i="13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O81" i="11"/>
  <c r="BN81" i="11"/>
  <c r="BM81" i="11"/>
  <c r="BL81" i="11"/>
  <c r="BK81" i="11"/>
  <c r="BJ81" i="11"/>
  <c r="BI81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BO80" i="11"/>
  <c r="BN80" i="11"/>
  <c r="BM80" i="11"/>
  <c r="BL80" i="11"/>
  <c r="BK80" i="11"/>
  <c r="BJ80" i="11"/>
  <c r="BI80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BO79" i="11"/>
  <c r="BN79" i="11"/>
  <c r="BM79" i="11"/>
  <c r="BL79" i="11"/>
  <c r="BK79" i="11"/>
  <c r="BJ79" i="11"/>
  <c r="BI79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B79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I91" i="9"/>
  <c r="AH91" i="9"/>
  <c r="AG91" i="9"/>
  <c r="AF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BM90" i="9"/>
  <c r="BL90" i="9"/>
  <c r="BK90" i="9"/>
  <c r="BJ90" i="9"/>
  <c r="BI90" i="9"/>
  <c r="BH90" i="9"/>
  <c r="BG90" i="9"/>
  <c r="BF90" i="9"/>
  <c r="BE90" i="9"/>
  <c r="BD90" i="9"/>
  <c r="BC90" i="9"/>
  <c r="BB90" i="9"/>
  <c r="BA90" i="9"/>
  <c r="AZ90" i="9"/>
  <c r="AY90" i="9"/>
  <c r="AX90" i="9"/>
  <c r="AW90" i="9"/>
  <c r="AV90" i="9"/>
  <c r="AU90" i="9"/>
  <c r="AT90" i="9"/>
  <c r="AS90" i="9"/>
  <c r="AR90" i="9"/>
  <c r="AQ90" i="9"/>
  <c r="AP90" i="9"/>
  <c r="AO90" i="9"/>
  <c r="AN90" i="9"/>
  <c r="AM90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BO89" i="9"/>
  <c r="BM89" i="9"/>
  <c r="BL89" i="9"/>
  <c r="BK89" i="9"/>
  <c r="BJ89" i="9"/>
  <c r="BI89" i="9"/>
  <c r="BH89" i="9"/>
  <c r="BG89" i="9"/>
  <c r="BF89" i="9"/>
  <c r="BE89" i="9"/>
  <c r="BD89" i="9"/>
  <c r="BC89" i="9"/>
  <c r="BB89" i="9"/>
  <c r="BA89" i="9"/>
  <c r="AZ89" i="9"/>
  <c r="AY89" i="9"/>
  <c r="AX89" i="9"/>
  <c r="AW89" i="9"/>
  <c r="AV89" i="9"/>
  <c r="AU89" i="9"/>
  <c r="AT89" i="9"/>
  <c r="AS89" i="9"/>
  <c r="AR89" i="9"/>
  <c r="AQ89" i="9"/>
  <c r="AP89" i="9"/>
  <c r="AO89" i="9"/>
  <c r="AN89" i="9"/>
  <c r="AM89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BO88" i="9"/>
  <c r="BM88" i="9"/>
  <c r="BL88" i="9"/>
  <c r="BK88" i="9"/>
  <c r="BJ88" i="9"/>
  <c r="BI88" i="9"/>
  <c r="BH88" i="9"/>
  <c r="BG88" i="9"/>
  <c r="BF88" i="9"/>
  <c r="BE88" i="9"/>
  <c r="BD88" i="9"/>
  <c r="BC88" i="9"/>
  <c r="BB88" i="9"/>
  <c r="BA88" i="9"/>
  <c r="AZ88" i="9"/>
  <c r="AY88" i="9"/>
  <c r="AX88" i="9"/>
  <c r="AW88" i="9"/>
  <c r="AV88" i="9"/>
  <c r="AU88" i="9"/>
  <c r="AT88" i="9"/>
  <c r="AS88" i="9"/>
  <c r="AR88" i="9"/>
  <c r="AQ88" i="9"/>
  <c r="AP88" i="9"/>
  <c r="AO88" i="9"/>
  <c r="AN88" i="9"/>
  <c r="AM88" i="9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BO87" i="9"/>
  <c r="BN87" i="9"/>
  <c r="BM87" i="9"/>
  <c r="BL87" i="9"/>
  <c r="BK87" i="9"/>
  <c r="BJ87" i="9"/>
  <c r="BI87" i="9"/>
  <c r="BH87" i="9"/>
  <c r="BG87" i="9"/>
  <c r="BF87" i="9"/>
  <c r="BE87" i="9"/>
  <c r="BD87" i="9"/>
  <c r="BC87" i="9"/>
  <c r="BB87" i="9"/>
  <c r="BA87" i="9"/>
  <c r="AZ87" i="9"/>
  <c r="AY87" i="9"/>
  <c r="AX87" i="9"/>
  <c r="AW87" i="9"/>
  <c r="AV87" i="9"/>
  <c r="AU87" i="9"/>
  <c r="AT87" i="9"/>
  <c r="AS87" i="9"/>
  <c r="AR87" i="9"/>
  <c r="AQ87" i="9"/>
  <c r="AP87" i="9"/>
  <c r="AO87" i="9"/>
  <c r="AN87" i="9"/>
  <c r="AM87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AI28" i="8"/>
  <c r="AI27" i="8"/>
  <c r="AI26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I23" i="8"/>
  <c r="AI22" i="8"/>
  <c r="AH21" i="8"/>
  <c r="AG21" i="8"/>
  <c r="AF21" i="8"/>
  <c r="AE21" i="8"/>
  <c r="AD21" i="8"/>
  <c r="AC21" i="8"/>
  <c r="AB21" i="8"/>
  <c r="AB25" i="8" s="1"/>
  <c r="AA21" i="8"/>
  <c r="Z21" i="8"/>
  <c r="Z25" i="8" s="1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I20" i="8"/>
  <c r="AI19" i="8"/>
  <c r="AI17" i="8"/>
  <c r="AI16" i="8"/>
  <c r="AI15" i="8"/>
  <c r="AH14" i="8"/>
  <c r="AF14" i="8"/>
  <c r="AC14" i="8"/>
  <c r="AB14" i="8"/>
  <c r="Z14" i="8"/>
  <c r="Y14" i="8"/>
  <c r="U14" i="8"/>
  <c r="T14" i="8"/>
  <c r="S14" i="8"/>
  <c r="R14" i="8"/>
  <c r="Q14" i="8"/>
  <c r="P14" i="8"/>
  <c r="N14" i="8"/>
  <c r="J14" i="8"/>
  <c r="I14" i="8"/>
  <c r="H14" i="8"/>
  <c r="G14" i="8"/>
  <c r="E14" i="8"/>
  <c r="B14" i="8"/>
  <c r="AI13" i="8"/>
  <c r="AI12" i="8"/>
  <c r="AI10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I8" i="8"/>
  <c r="AI7" i="8"/>
  <c r="AI6" i="8"/>
  <c r="AI5" i="8"/>
  <c r="BO23" i="7"/>
  <c r="BO25" i="7" s="1"/>
  <c r="BN23" i="7"/>
  <c r="BN25" i="7" s="1"/>
  <c r="BM23" i="7"/>
  <c r="BM25" i="7" s="1"/>
  <c r="BL23" i="7"/>
  <c r="BL25" i="7" s="1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M23" i="7"/>
  <c r="AM25" i="7" s="1"/>
  <c r="AL23" i="7"/>
  <c r="AL25" i="7" s="1"/>
  <c r="AK23" i="7"/>
  <c r="AK25" i="7" s="1"/>
  <c r="AJ23" i="7"/>
  <c r="AJ25" i="7" s="1"/>
  <c r="AI23" i="7"/>
  <c r="AI25" i="7" s="1"/>
  <c r="AH23" i="7"/>
  <c r="AH25" i="7" s="1"/>
  <c r="AG23" i="7"/>
  <c r="AG25" i="7" s="1"/>
  <c r="AF23" i="7"/>
  <c r="AF25" i="7" s="1"/>
  <c r="AE23" i="7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K25" i="7" s="1"/>
  <c r="J23" i="7"/>
  <c r="J25" i="7" s="1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B23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P15" i="1" s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L20" i="14" l="1"/>
  <c r="BQ15" i="12"/>
  <c r="BP15" i="12"/>
  <c r="BQ78" i="11"/>
  <c r="BP78" i="11"/>
  <c r="BQ79" i="11"/>
  <c r="BQ80" i="11"/>
  <c r="BQ81" i="11"/>
  <c r="BP79" i="11"/>
  <c r="BP80" i="11"/>
  <c r="BP81" i="11"/>
  <c r="BP106" i="10"/>
  <c r="BQ108" i="10"/>
  <c r="BQ105" i="10"/>
  <c r="BQ109" i="10"/>
  <c r="BQ106" i="10"/>
  <c r="BQ110" i="10"/>
  <c r="BQ111" i="10"/>
  <c r="BQ107" i="10"/>
  <c r="BP105" i="10"/>
  <c r="BP109" i="10"/>
  <c r="BP110" i="10"/>
  <c r="BP107" i="10"/>
  <c r="BP111" i="10"/>
  <c r="BP108" i="10"/>
  <c r="BQ90" i="9"/>
  <c r="BQ91" i="9"/>
  <c r="BP91" i="9"/>
  <c r="BQ88" i="9"/>
  <c r="BQ89" i="9"/>
  <c r="BP88" i="9"/>
  <c r="BP89" i="9"/>
  <c r="BP90" i="9"/>
  <c r="BQ87" i="9"/>
  <c r="BP87" i="9"/>
  <c r="BQ13" i="1"/>
  <c r="BP7" i="1"/>
  <c r="BP21" i="7"/>
  <c r="BQ15" i="7"/>
  <c r="C25" i="7"/>
  <c r="BQ25" i="7" s="1"/>
  <c r="BQ23" i="7"/>
  <c r="CS20" i="14"/>
  <c r="Z37" i="14"/>
  <c r="AL37" i="14"/>
  <c r="AR37" i="14"/>
  <c r="BL36" i="14"/>
  <c r="BL37" i="14" s="1"/>
  <c r="BR36" i="14"/>
  <c r="I37" i="14"/>
  <c r="BK37" i="14"/>
  <c r="BQ37" i="14"/>
  <c r="BQ7" i="1"/>
  <c r="BQ15" i="1"/>
  <c r="BQ21" i="7"/>
  <c r="AG25" i="8"/>
  <c r="CA20" i="14"/>
  <c r="CA37" i="14" s="1"/>
  <c r="CS36" i="14"/>
  <c r="J36" i="14"/>
  <c r="G36" i="14"/>
  <c r="BP13" i="1"/>
  <c r="BP15" i="7"/>
  <c r="B25" i="7"/>
  <c r="BP25" i="7" s="1"/>
  <c r="BP23" i="7"/>
  <c r="BR20" i="14"/>
  <c r="BZ37" i="14"/>
  <c r="CQ37" i="14"/>
  <c r="W25" i="8"/>
  <c r="E25" i="8"/>
  <c r="B25" i="8"/>
  <c r="AI32" i="15"/>
  <c r="AH36" i="14"/>
  <c r="G20" i="14"/>
  <c r="M20" i="14"/>
  <c r="M37" i="14" s="1"/>
  <c r="BI20" i="14"/>
  <c r="AW36" i="14"/>
  <c r="BC20" i="14"/>
  <c r="BC37" i="14" s="1"/>
  <c r="BF36" i="14"/>
  <c r="BC36" i="14"/>
  <c r="D25" i="8"/>
  <c r="L25" i="8"/>
  <c r="N25" i="8"/>
  <c r="V25" i="8"/>
  <c r="AA25" i="8"/>
  <c r="BO36" i="14"/>
  <c r="BO20" i="14"/>
  <c r="M36" i="14"/>
  <c r="L37" i="14"/>
  <c r="J37" i="14"/>
  <c r="D36" i="14"/>
  <c r="D20" i="14"/>
  <c r="CT37" i="14"/>
  <c r="CK37" i="14"/>
  <c r="CM20" i="14"/>
  <c r="X37" i="14"/>
  <c r="AJ37" i="14"/>
  <c r="AS37" i="14"/>
  <c r="AT36" i="14"/>
  <c r="AT20" i="14"/>
  <c r="AF37" i="14"/>
  <c r="AH20" i="14"/>
  <c r="AG37" i="14"/>
  <c r="CF37" i="14"/>
  <c r="R25" i="8"/>
  <c r="AY37" i="14"/>
  <c r="AX37" i="14"/>
  <c r="AZ36" i="14"/>
  <c r="AZ20" i="14"/>
  <c r="AZ37" i="14" s="1"/>
  <c r="BH37" i="14"/>
  <c r="BI36" i="14"/>
  <c r="BG37" i="14"/>
  <c r="AI28" i="15"/>
  <c r="AI19" i="15"/>
  <c r="AI12" i="15"/>
  <c r="U37" i="14"/>
  <c r="T37" i="14"/>
  <c r="V36" i="14"/>
  <c r="V20" i="14"/>
  <c r="E37" i="14"/>
  <c r="U25" i="8"/>
  <c r="S25" i="8"/>
  <c r="G25" i="8"/>
  <c r="CB37" i="14"/>
  <c r="AU37" i="14"/>
  <c r="AP37" i="14"/>
  <c r="S36" i="14"/>
  <c r="Q37" i="14"/>
  <c r="S20" i="14"/>
  <c r="N37" i="14"/>
  <c r="P36" i="14"/>
  <c r="O37" i="14"/>
  <c r="P20" i="14"/>
  <c r="BD37" i="14"/>
  <c r="BF20" i="14"/>
  <c r="BF37" i="14" s="1"/>
  <c r="T25" i="8"/>
  <c r="AD25" i="8"/>
  <c r="CH37" i="14"/>
  <c r="CJ36" i="14"/>
  <c r="CI37" i="14"/>
  <c r="CJ20" i="14"/>
  <c r="BW37" i="14"/>
  <c r="BV37" i="14"/>
  <c r="BX36" i="14"/>
  <c r="BX20" i="14"/>
  <c r="F37" i="14"/>
  <c r="G37" i="14"/>
  <c r="R37" i="14"/>
  <c r="AC37" i="14"/>
  <c r="AH37" i="14"/>
  <c r="AM37" i="14"/>
  <c r="BB37" i="14"/>
  <c r="BE37" i="14"/>
  <c r="BM37" i="14"/>
  <c r="CG36" i="14"/>
  <c r="AW20" i="14"/>
  <c r="AV37" i="14"/>
  <c r="Y20" i="14"/>
  <c r="F25" i="8"/>
  <c r="H25" i="8"/>
  <c r="P25" i="8"/>
  <c r="C25" i="8"/>
  <c r="M25" i="8"/>
  <c r="AE25" i="8"/>
  <c r="AF25" i="8"/>
  <c r="AH25" i="8"/>
  <c r="CP20" i="14"/>
  <c r="CP36" i="14"/>
  <c r="CN37" i="14"/>
  <c r="CU37" i="14"/>
  <c r="CV36" i="14"/>
  <c r="CV20" i="14"/>
  <c r="X25" i="8"/>
  <c r="CE37" i="14"/>
  <c r="CG20" i="14"/>
  <c r="AC25" i="8"/>
  <c r="CL37" i="14"/>
  <c r="CM36" i="14"/>
  <c r="AA37" i="14"/>
  <c r="AB20" i="14"/>
  <c r="AB36" i="14"/>
  <c r="J25" i="8"/>
  <c r="BU36" i="14"/>
  <c r="BS37" i="14"/>
  <c r="BU20" i="14"/>
  <c r="CD20" i="14"/>
  <c r="CD36" i="14"/>
  <c r="AQ36" i="14"/>
  <c r="AO37" i="14"/>
  <c r="AQ20" i="14"/>
  <c r="AN36" i="14"/>
  <c r="AN20" i="14"/>
  <c r="AK36" i="14"/>
  <c r="AK20" i="14"/>
  <c r="AD37" i="14"/>
  <c r="AE36" i="14"/>
  <c r="AE20" i="14"/>
  <c r="Y36" i="14"/>
  <c r="W37" i="14"/>
  <c r="AI9" i="13"/>
  <c r="AI19" i="16"/>
  <c r="AI15" i="16"/>
  <c r="Y25" i="8"/>
  <c r="AI14" i="8"/>
  <c r="Q25" i="8"/>
  <c r="O25" i="8"/>
  <c r="AI9" i="8"/>
  <c r="K25" i="8"/>
  <c r="AI24" i="8"/>
  <c r="AI21" i="8"/>
  <c r="I25" i="8"/>
  <c r="CS37" i="14" l="1"/>
  <c r="BR37" i="14"/>
  <c r="CJ37" i="14"/>
  <c r="CM37" i="14"/>
  <c r="BX37" i="14"/>
  <c r="BI37" i="14"/>
  <c r="AW37" i="14"/>
  <c r="BO37" i="14"/>
  <c r="D37" i="14"/>
  <c r="AT37" i="14"/>
  <c r="V37" i="14"/>
  <c r="S37" i="14"/>
  <c r="P37" i="14"/>
  <c r="CG37" i="14"/>
  <c r="Y37" i="14"/>
  <c r="CP37" i="14"/>
  <c r="CV37" i="14"/>
  <c r="AB37" i="14"/>
  <c r="BU37" i="14"/>
  <c r="CD37" i="14"/>
  <c r="AQ37" i="14"/>
  <c r="AN37" i="14"/>
  <c r="AK37" i="14"/>
  <c r="AE37" i="14"/>
  <c r="AI25" i="8"/>
  <c r="CE15" i="6"/>
  <c r="CE12" i="6"/>
  <c r="CD15" i="6"/>
  <c r="CD12" i="6"/>
  <c r="CG12" i="6"/>
  <c r="CG15" i="6"/>
  <c r="CF15" i="6"/>
  <c r="CF12" i="6"/>
  <c r="BK13" i="3"/>
  <c r="BK12" i="3"/>
  <c r="BK14" i="3"/>
</calcChain>
</file>

<file path=xl/sharedStrings.xml><?xml version="1.0" encoding="utf-8"?>
<sst xmlns="http://schemas.openxmlformats.org/spreadsheetml/2006/main" count="5270" uniqueCount="310">
  <si>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</si>
  <si>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</si>
  <si>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</si>
  <si>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</si>
  <si>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</si>
  <si>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</si>
  <si>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</si>
  <si>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</si>
  <si>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</si>
  <si>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</si>
  <si>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</si>
  <si>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</si>
  <si>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</si>
  <si>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</si>
  <si>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</si>
  <si>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</si>
  <si>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</si>
  <si>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</si>
  <si>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</si>
  <si>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</si>
  <si>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</si>
  <si>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</si>
  <si>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</si>
  <si>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</si>
  <si>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</si>
  <si>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</si>
  <si>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</si>
  <si>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</si>
  <si>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</si>
  <si>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</si>
  <si>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</si>
  <si>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</si>
  <si>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</si>
  <si>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</si>
  <si>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</si>
  <si>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</si>
  <si>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</si>
  <si>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</si>
  <si>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</si>
  <si>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</si>
  <si>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</si>
  <si>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</si>
  <si>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</si>
  <si>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</si>
  <si>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</si>
  <si>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</si>
  <si>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</si>
  <si>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</si>
  <si>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</si>
  <si>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</si>
  <si>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</si>
  <si>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</si>
  <si>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</si>
  <si>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</si>
  <si>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</si>
  <si>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</si>
  <si>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</si>
  <si>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</si>
  <si>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</si>
  <si>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</si>
  <si>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</si>
  <si>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</si>
  <si>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</si>
  <si>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</si>
  <si>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</si>
  <si>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</si>
  <si>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</si>
  <si>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</si>
  <si>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</si>
  <si>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</si>
  <si>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</si>
  <si>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</si>
  <si>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</si>
  <si>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</si>
  <si>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</si>
  <si>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</si>
  <si>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</si>
  <si>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</si>
  <si>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</si>
  <si>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</si>
  <si>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</si>
  <si>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</si>
  <si>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</si>
  <si>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</si>
  <si>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</si>
  <si>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</si>
  <si>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</si>
  <si>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</si>
  <si>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</si>
  <si>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</si>
  <si>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</si>
  <si>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</si>
  <si>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</si>
  <si>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</si>
  <si>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</si>
  <si>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</si>
  <si>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</si>
  <si>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</si>
  <si>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</si>
  <si>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</si>
  <si>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</si>
  <si>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</si>
  <si>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</si>
  <si>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</si>
  <si>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</si>
  <si>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</si>
  <si>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</si>
  <si>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</si>
  <si>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</si>
  <si>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</si>
  <si>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</si>
  <si>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</si>
  <si>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</si>
  <si>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</si>
  <si>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</si>
  <si>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</si>
  <si>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</si>
  <si>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</si>
  <si>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</si>
  <si>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</si>
  <si>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</si>
  <si>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</si>
  <si>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</si>
  <si>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</si>
  <si>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</si>
  <si>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</si>
  <si>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</si>
  <si>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</si>
  <si>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</si>
  <si>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</si>
  <si>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</si>
  <si>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</si>
  <si>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</si>
  <si>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</si>
  <si>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</si>
  <si>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</si>
  <si>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</si>
  <si>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</si>
  <si>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</si>
  <si>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</si>
  <si>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</si>
  <si>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</si>
  <si>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</si>
  <si>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</si>
  <si>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</si>
  <si>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</si>
  <si>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</si>
  <si>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</si>
  <si>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</si>
  <si>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</si>
  <si>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</si>
  <si>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</si>
  <si>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</si>
  <si>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</si>
  <si>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</si>
  <si>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</si>
  <si>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</si>
  <si>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</si>
  <si>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</si>
  <si>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</si>
  <si>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</si>
  <si>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</si>
  <si>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</si>
  <si>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</si>
  <si>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</si>
  <si>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</si>
  <si>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</si>
  <si>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</si>
  <si>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</si>
  <si>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</si>
  <si>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</si>
  <si>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</si>
  <si>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</si>
  <si>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</si>
  <si>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</si>
  <si>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</si>
  <si>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</si>
  <si>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</si>
  <si>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</si>
  <si>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</si>
  <si>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</si>
  <si>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</si>
  <si>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</si>
  <si>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</si>
  <si>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</si>
  <si>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</si>
  <si>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</si>
  <si>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</si>
  <si>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</si>
  <si>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</si>
  <si>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</si>
  <si>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</si>
  <si>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</si>
  <si>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</si>
  <si>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</si>
  <si>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</si>
  <si>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</si>
  <si>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</si>
  <si>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</si>
  <si>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</si>
  <si>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</si>
  <si>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</si>
  <si>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</si>
  <si>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</si>
  <si>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</si>
  <si>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</si>
  <si>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</si>
  <si>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</si>
  <si>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</si>
  <si>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</si>
  <si>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</si>
  <si>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</si>
  <si>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</si>
  <si>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</si>
  <si>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</si>
  <si>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</si>
  <si>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</si>
  <si>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</si>
  <si>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</si>
  <si>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</si>
  <si>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</si>
  <si>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</si>
  <si>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</si>
  <si>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</si>
  <si>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</si>
  <si>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</si>
  <si>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</si>
  <si>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</si>
  <si>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</si>
  <si>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</si>
  <si>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</si>
  <si>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</si>
  <si>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</si>
  <si>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</si>
  <si>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</si>
  <si>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</si>
  <si>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</si>
  <si>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</si>
  <si>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</si>
  <si>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</si>
  <si>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</si>
  <si>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</si>
  <si>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</si>
  <si>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</si>
  <si>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</si>
  <si>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</si>
  <si>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</si>
  <si>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</si>
  <si>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</si>
  <si>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</si>
  <si>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</si>
  <si>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</si>
  <si>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</si>
  <si>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</si>
  <si>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</si>
  <si>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</si>
  <si>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</si>
  <si>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</si>
  <si>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</si>
  <si>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</si>
  <si>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</si>
  <si>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</si>
  <si>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</si>
  <si>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</si>
  <si>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</si>
  <si>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</si>
  <si>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</si>
  <si>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</si>
  <si>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</si>
  <si>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</si>
  <si>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</si>
  <si>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</si>
  <si>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</si>
  <si>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</si>
  <si>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</si>
  <si>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</si>
  <si>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</si>
  <si>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</si>
  <si>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</si>
  <si>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</si>
  <si>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</si>
  <si>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</si>
  <si>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</si>
  <si>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</si>
  <si>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</si>
  <si>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</si>
  <si>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</si>
  <si>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</si>
  <si>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</si>
  <si>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</si>
  <si>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</si>
  <si>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</si>
  <si>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 xml:space="preserve">NL-2 Profit and Loss Account </t>
  </si>
  <si>
    <t>Manipal Cigna</t>
  </si>
  <si>
    <t>Gross Incurred Claims</t>
  </si>
  <si>
    <t>HDFC Ergo Health</t>
  </si>
  <si>
    <t>CROP</t>
  </si>
  <si>
    <t>HDFC ERGO Health</t>
  </si>
  <si>
    <t>For Q4 2019-20</t>
  </si>
  <si>
    <t>Upto 12 months 2019-20</t>
  </si>
  <si>
    <t>NL-3 Balance Sheet as at 31 March 2020</t>
  </si>
  <si>
    <t>NL-10 Reserves and Surplus as at 31 March 2020</t>
  </si>
  <si>
    <t>NL-12 Investments as at 31 March 2020</t>
  </si>
  <si>
    <t>NL-13 Loans as at 31 March 2020</t>
  </si>
  <si>
    <t>NL-14 Fixed Assets. Net Block as at 31 March 2020</t>
  </si>
  <si>
    <t>NL-15 Cash and Bank Balance as at 31 March 2020</t>
  </si>
  <si>
    <t>NL-17 Current Liabilities as at 31 March 2020</t>
  </si>
  <si>
    <t>NL-25 Quarterly Claims Data (Q4)</t>
  </si>
  <si>
    <t>NL-33 Solvency Margin KGII for the period ended 31 March 2020</t>
  </si>
  <si>
    <t>Navi General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</si>
</sst>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_ ;\-0\ "/>
    <numFmt numFmtId="168" formatCode="_ &quot;₹&quot;\ * #,##0.00_ ;_ &quot;₹&quot;\ * \-#,##0.00_ ;_ &quot;₹&quot;\ * &quot;-&quot;??_ ;_ @_ "/>
    <numFmt numFmtId="169" formatCode="_ * #,##0.00_ ;_ * \-#,##0.00_ ;_ * &quot;-&quot;??_ ;_ @_ "/>
    <numFmt numFmtId="17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5" fontId="4" fillId="0" borderId="0" applyFont="0" applyFill="0" applyBorder="0" applyAlignment="0" applyProtection="0"/>
  </cellStyleXfs>
  <cellXfs count="169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3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3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3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6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6" fillId="0" borderId="0" xfId="0" applyNumberFormat="1" applyFont="1" applyBorder="1"/>
    <xf numFmtId="1" fontId="6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3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2" fontId="3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0" fillId="0" borderId="5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9" fontId="0" fillId="0" borderId="1" xfId="1" applyFont="1" applyBorder="1"/>
    <xf numFmtId="9" fontId="2" fillId="0" borderId="1" xfId="1" applyFont="1" applyBorder="1"/>
    <xf numFmtId="1" fontId="2" fillId="0" borderId="1" xfId="0" applyNumberFormat="1" applyFont="1" applyBorder="1" applyAlignment="1">
      <alignment vertical="center" wrapText="1"/>
    </xf>
    <xf numFmtId="1" fontId="1" fillId="2" borderId="1" xfId="0" applyNumberFormat="1" applyFont="1" applyFill="1" applyBorder="1"/>
    <xf numFmtId="1" fontId="5" fillId="2" borderId="1" xfId="0" applyNumberFormat="1" applyFont="1" applyFill="1" applyBorder="1"/>
    <xf numFmtId="1" fontId="8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0" fontId="1" fillId="2" borderId="1" xfId="0" applyFont="1" applyFill="1" applyBorder="1"/>
    <xf numFmtId="0" fontId="5" fillId="2" borderId="1" xfId="0" applyFont="1" applyFill="1" applyBorder="1"/>
    <xf numFmtId="9" fontId="1" fillId="0" borderId="1" xfId="1" applyFont="1" applyBorder="1"/>
    <xf numFmtId="1" fontId="5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9" fontId="0" fillId="0" borderId="0" xfId="1" applyFont="1"/>
    <xf numFmtId="9" fontId="0" fillId="0" borderId="1" xfId="1" applyNumberFormat="1" applyFont="1" applyBorder="1"/>
    <xf numFmtId="1" fontId="0" fillId="0" borderId="0" xfId="0" applyNumberFormat="1" applyBorder="1"/>
    <xf numFmtId="1" fontId="0" fillId="0" borderId="0" xfId="0" applyNumberFormat="1" applyFill="1" applyBorder="1"/>
    <xf numFmtId="9" fontId="2" fillId="0" borderId="1" xfId="1" applyNumberFormat="1" applyFont="1" applyBorder="1"/>
    <xf numFmtId="2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1" fontId="2" fillId="0" borderId="1" xfId="1" applyNumberFormat="1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0" fontId="1" fillId="0" borderId="1" xfId="1" applyNumberFormat="1" applyFont="1" applyBorder="1"/>
    <xf numFmtId="3" fontId="0" fillId="0" borderId="0" xfId="0" applyNumberFormat="1"/>
    <xf numFmtId="1" fontId="0" fillId="0" borderId="4" xfId="0" applyNumberFormat="1" applyBorder="1"/>
    <xf numFmtId="164" fontId="0" fillId="0" borderId="0" xfId="0" applyNumberFormat="1"/>
    <xf numFmtId="165" fontId="0" fillId="0" borderId="0" xfId="3" applyNumberFormat="1" applyFont="1"/>
    <xf numFmtId="1" fontId="1" fillId="0" borderId="1" xfId="0" applyNumberFormat="1" applyFont="1" applyFill="1" applyBorder="1" applyAlignment="1">
      <alignment horizontal="center"/>
    </xf>
    <xf numFmtId="10" fontId="0" fillId="0" borderId="0" xfId="0" applyNumberFormat="1"/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" fillId="0" borderId="2" xfId="2" applyNumberFormat="1" applyFont="1" applyBorder="1" applyAlignment="1">
      <alignment horizontal="center"/>
    </xf>
    <xf numFmtId="1" fontId="1" fillId="0" borderId="3" xfId="2" applyNumberFormat="1" applyFont="1" applyBorder="1" applyAlignment="1">
      <alignment horizontal="center"/>
    </xf>
    <xf numFmtId="1" fontId="1" fillId="0" borderId="4" xfId="2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1" fontId="2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2" fontId="0" fillId="0" borderId="1" xfId="0" applyNumberForma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1" fontId="2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10" fontId="0" fillId="0" borderId="1" xfId="0" applyNumberFormat="1" applyBorder="1"/>
    <xf numFmtId="10" fontId="0" fillId="0" borderId="1" xfId="1" applyNumberFormat="1" applyFont="1" applyBorder="1"/>
    <xf numFmtId="10" fontId="2" fillId="0" borderId="1" xfId="1" applyNumberFormat="1" applyFont="1" applyBorder="1"/>
    <xf numFmtId="1" fontId="0" fillId="0" borderId="1" xfId="0" applyNumberFormat="1" applyFill="1" applyBorder="1"/>
    <xf numFmtId="9" fontId="0" fillId="0" borderId="1" xfId="1" applyFont="1" applyBorder="1"/>
    <xf numFmtId="2" fontId="0" fillId="0" borderId="1" xfId="0" applyNumberFormat="1" applyBorder="1"/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/>
  </cellXfs>
  <cellStyles count="7">
    <cellStyle name="Comma" xfId="3" builtinId="3"/>
    <cellStyle name="Comma 2" xfId="5"/>
    <cellStyle name="Comma 3" xfId="6"/>
    <cellStyle name="Currency" xfId="2" builtinId="4"/>
    <cellStyle name="Currency 2" xfId="4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:C3"/>
    </sheetView>
  </sheetViews>
  <sheetFormatPr defaultRowHeight="15" x14ac:dyDescent="0.25"/>
  <cols>
    <col min="1" max="1" width="33.140625" style="7" customWidth="1"/>
    <col min="2" max="67" width="16" style="7" customWidth="1"/>
    <col min="68" max="68" width="16" style="44" customWidth="1"/>
    <col min="69" max="69" width="16" style="8" customWidth="1"/>
    <col min="70" max="16384" width="9.140625" style="7"/>
  </cols>
  <sheetData>
    <row r="1" spans="1:69" ht="18.75" x14ac:dyDescent="0.3">
      <c r="A1" s="5" t="s">
        <v>45</v>
      </c>
    </row>
    <row r="2" spans="1:69" x14ac:dyDescent="0.25">
      <c r="A2" s="6" t="s">
        <v>46</v>
      </c>
    </row>
    <row r="3" spans="1:69" x14ac:dyDescent="0.25">
      <c r="A3" s="1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295</v>
      </c>
      <c r="I3" s="112"/>
      <c r="J3" s="111" t="s">
        <v>5</v>
      </c>
      <c r="K3" s="112"/>
      <c r="L3" s="111" t="s">
        <v>6</v>
      </c>
      <c r="M3" s="112"/>
      <c r="N3" s="111" t="s">
        <v>7</v>
      </c>
      <c r="O3" s="112"/>
      <c r="P3" s="111" t="s">
        <v>309</v>
      </c>
      <c r="Q3" s="112"/>
      <c r="R3" s="111" t="s">
        <v>9</v>
      </c>
      <c r="S3" s="112"/>
      <c r="T3" s="111" t="s">
        <v>10</v>
      </c>
      <c r="U3" s="112"/>
      <c r="V3" s="111" t="s">
        <v>11</v>
      </c>
      <c r="W3" s="112"/>
      <c r="X3" s="111" t="s">
        <v>12</v>
      </c>
      <c r="Y3" s="112"/>
      <c r="Z3" s="111" t="s">
        <v>13</v>
      </c>
      <c r="AA3" s="112"/>
      <c r="AB3" s="111" t="s">
        <v>14</v>
      </c>
      <c r="AC3" s="112"/>
      <c r="AD3" s="111" t="s">
        <v>15</v>
      </c>
      <c r="AE3" s="112"/>
      <c r="AF3" s="111" t="s">
        <v>16</v>
      </c>
      <c r="AG3" s="112"/>
      <c r="AH3" s="111" t="s">
        <v>17</v>
      </c>
      <c r="AI3" s="112"/>
      <c r="AJ3" s="111" t="s">
        <v>18</v>
      </c>
      <c r="AK3" s="112"/>
      <c r="AL3" s="111" t="s">
        <v>293</v>
      </c>
      <c r="AM3" s="112"/>
      <c r="AN3" s="111" t="s">
        <v>19</v>
      </c>
      <c r="AO3" s="112"/>
      <c r="AP3" s="111" t="s">
        <v>20</v>
      </c>
      <c r="AQ3" s="112"/>
      <c r="AR3" s="111" t="s">
        <v>21</v>
      </c>
      <c r="AS3" s="112"/>
      <c r="AT3" s="111" t="s">
        <v>22</v>
      </c>
      <c r="AU3" s="112"/>
      <c r="AV3" s="111" t="s">
        <v>23</v>
      </c>
      <c r="AW3" s="112"/>
      <c r="AX3" s="111" t="s">
        <v>24</v>
      </c>
      <c r="AY3" s="112"/>
      <c r="AZ3" s="111" t="s">
        <v>25</v>
      </c>
      <c r="BA3" s="112"/>
      <c r="BB3" s="111" t="s">
        <v>26</v>
      </c>
      <c r="BC3" s="112"/>
      <c r="BD3" s="111" t="s">
        <v>27</v>
      </c>
      <c r="BE3" s="112"/>
      <c r="BF3" s="111" t="s">
        <v>28</v>
      </c>
      <c r="BG3" s="112"/>
      <c r="BH3" s="111" t="s">
        <v>29</v>
      </c>
      <c r="BI3" s="112"/>
      <c r="BJ3" s="111" t="s">
        <v>30</v>
      </c>
      <c r="BK3" s="112"/>
      <c r="BL3" s="115" t="s">
        <v>31</v>
      </c>
      <c r="BM3" s="116"/>
      <c r="BN3" s="111" t="s">
        <v>32</v>
      </c>
      <c r="BO3" s="112"/>
      <c r="BP3" s="113" t="s">
        <v>33</v>
      </c>
      <c r="BQ3" s="114"/>
    </row>
    <row r="4" spans="1:69" s="68" customFormat="1" ht="30" x14ac:dyDescent="0.25">
      <c r="A4" s="65"/>
      <c r="B4" s="66" t="s">
        <v>298</v>
      </c>
      <c r="C4" s="67" t="s">
        <v>299</v>
      </c>
      <c r="D4" s="66" t="s">
        <v>298</v>
      </c>
      <c r="E4" s="67" t="s">
        <v>299</v>
      </c>
      <c r="F4" s="66" t="s">
        <v>298</v>
      </c>
      <c r="G4" s="67" t="s">
        <v>299</v>
      </c>
      <c r="H4" s="66" t="s">
        <v>298</v>
      </c>
      <c r="I4" s="67" t="s">
        <v>299</v>
      </c>
      <c r="J4" s="66" t="s">
        <v>298</v>
      </c>
      <c r="K4" s="67" t="s">
        <v>299</v>
      </c>
      <c r="L4" s="66" t="s">
        <v>298</v>
      </c>
      <c r="M4" s="67" t="s">
        <v>299</v>
      </c>
      <c r="N4" s="66" t="s">
        <v>298</v>
      </c>
      <c r="O4" s="67" t="s">
        <v>299</v>
      </c>
      <c r="P4" s="66" t="s">
        <v>298</v>
      </c>
      <c r="Q4" s="67" t="s">
        <v>299</v>
      </c>
      <c r="R4" s="66" t="s">
        <v>298</v>
      </c>
      <c r="S4" s="67" t="s">
        <v>299</v>
      </c>
      <c r="T4" s="66" t="s">
        <v>298</v>
      </c>
      <c r="U4" s="67" t="s">
        <v>299</v>
      </c>
      <c r="V4" s="66" t="s">
        <v>298</v>
      </c>
      <c r="W4" s="67" t="s">
        <v>299</v>
      </c>
      <c r="X4" s="66" t="s">
        <v>298</v>
      </c>
      <c r="Y4" s="67" t="s">
        <v>299</v>
      </c>
      <c r="Z4" s="66" t="s">
        <v>298</v>
      </c>
      <c r="AA4" s="67" t="s">
        <v>299</v>
      </c>
      <c r="AB4" s="66" t="s">
        <v>298</v>
      </c>
      <c r="AC4" s="67" t="s">
        <v>299</v>
      </c>
      <c r="AD4" s="66" t="s">
        <v>298</v>
      </c>
      <c r="AE4" s="67" t="s">
        <v>299</v>
      </c>
      <c r="AF4" s="66" t="s">
        <v>298</v>
      </c>
      <c r="AG4" s="67" t="s">
        <v>299</v>
      </c>
      <c r="AH4" s="66" t="s">
        <v>298</v>
      </c>
      <c r="AI4" s="67" t="s">
        <v>299</v>
      </c>
      <c r="AJ4" s="66" t="s">
        <v>298</v>
      </c>
      <c r="AK4" s="67" t="s">
        <v>299</v>
      </c>
      <c r="AL4" s="66" t="s">
        <v>298</v>
      </c>
      <c r="AM4" s="67" t="s">
        <v>299</v>
      </c>
      <c r="AN4" s="66" t="s">
        <v>298</v>
      </c>
      <c r="AO4" s="67" t="s">
        <v>299</v>
      </c>
      <c r="AP4" s="66" t="s">
        <v>298</v>
      </c>
      <c r="AQ4" s="67" t="s">
        <v>299</v>
      </c>
      <c r="AR4" s="66" t="s">
        <v>298</v>
      </c>
      <c r="AS4" s="67" t="s">
        <v>299</v>
      </c>
      <c r="AT4" s="66" t="s">
        <v>298</v>
      </c>
      <c r="AU4" s="67" t="s">
        <v>299</v>
      </c>
      <c r="AV4" s="66" t="s">
        <v>298</v>
      </c>
      <c r="AW4" s="67" t="s">
        <v>299</v>
      </c>
      <c r="AX4" s="66" t="s">
        <v>298</v>
      </c>
      <c r="AY4" s="67" t="s">
        <v>299</v>
      </c>
      <c r="AZ4" s="66" t="s">
        <v>298</v>
      </c>
      <c r="BA4" s="67" t="s">
        <v>299</v>
      </c>
      <c r="BB4" s="66" t="s">
        <v>298</v>
      </c>
      <c r="BC4" s="67" t="s">
        <v>299</v>
      </c>
      <c r="BD4" s="66" t="s">
        <v>298</v>
      </c>
      <c r="BE4" s="67" t="s">
        <v>299</v>
      </c>
      <c r="BF4" s="66" t="s">
        <v>298</v>
      </c>
      <c r="BG4" s="67" t="s">
        <v>299</v>
      </c>
      <c r="BH4" s="66" t="s">
        <v>298</v>
      </c>
      <c r="BI4" s="67" t="s">
        <v>299</v>
      </c>
      <c r="BJ4" s="66" t="s">
        <v>298</v>
      </c>
      <c r="BK4" s="67" t="s">
        <v>299</v>
      </c>
      <c r="BL4" s="66" t="s">
        <v>298</v>
      </c>
      <c r="BM4" s="67" t="s">
        <v>299</v>
      </c>
      <c r="BN4" s="66" t="s">
        <v>298</v>
      </c>
      <c r="BO4" s="67" t="s">
        <v>299</v>
      </c>
      <c r="BP4" s="109" t="s">
        <v>298</v>
      </c>
      <c r="BQ4" s="110" t="s">
        <v>299</v>
      </c>
    </row>
    <row r="5" spans="1:69" x14ac:dyDescent="0.25">
      <c r="A5" s="2" t="s">
        <v>34</v>
      </c>
      <c r="B5" s="10">
        <v>416353</v>
      </c>
      <c r="C5" s="10">
        <v>1646954</v>
      </c>
      <c r="D5" s="10">
        <v>2154428</v>
      </c>
      <c r="E5" s="10">
        <v>5854079</v>
      </c>
      <c r="F5" s="10">
        <v>3509114</v>
      </c>
      <c r="G5" s="10">
        <v>18463089</v>
      </c>
      <c r="H5" s="10">
        <v>7121989</v>
      </c>
      <c r="I5" s="10">
        <v>19083357</v>
      </c>
      <c r="J5" s="7">
        <v>19722631</v>
      </c>
      <c r="K5" s="10">
        <v>82061822</v>
      </c>
      <c r="L5" s="10">
        <v>4949465</v>
      </c>
      <c r="M5" s="10">
        <v>18296572</v>
      </c>
      <c r="N5" s="10">
        <f>58088+8358976+247446</f>
        <v>8664510</v>
      </c>
      <c r="O5" s="10">
        <f>199862+33211105+959057</f>
        <v>34370024</v>
      </c>
      <c r="P5" s="10">
        <v>202337</v>
      </c>
      <c r="Q5" s="10">
        <v>1224293</v>
      </c>
      <c r="R5" s="10">
        <v>279343</v>
      </c>
      <c r="S5" s="10">
        <v>925459</v>
      </c>
      <c r="T5" s="10">
        <v>2353992.14</v>
      </c>
      <c r="U5" s="10">
        <v>8311551.1900000004</v>
      </c>
      <c r="V5" s="10">
        <v>5559123</v>
      </c>
      <c r="W5" s="10">
        <v>19815812</v>
      </c>
      <c r="X5" s="10">
        <v>3736851</v>
      </c>
      <c r="Y5" s="10">
        <v>12413462</v>
      </c>
      <c r="Z5" s="10">
        <v>10766324</v>
      </c>
      <c r="AA5" s="10">
        <v>43834873</v>
      </c>
      <c r="AB5" s="10">
        <v>23455431</v>
      </c>
      <c r="AC5" s="10">
        <v>94035170</v>
      </c>
      <c r="AD5" s="10">
        <f>209590+181709+11089148</f>
        <v>11480447</v>
      </c>
      <c r="AE5" s="10">
        <f>736848+592286+44924079</f>
        <v>46253213</v>
      </c>
      <c r="AF5" s="10">
        <v>817466</v>
      </c>
      <c r="AG5" s="10">
        <v>2908895</v>
      </c>
      <c r="AH5" s="10">
        <f>63374+17765+3071848</f>
        <v>3152987</v>
      </c>
      <c r="AI5" s="10">
        <f>233572+87646+11285852</f>
        <v>11607070</v>
      </c>
      <c r="AJ5" s="10">
        <v>1938529</v>
      </c>
      <c r="AK5" s="10">
        <v>7082970</v>
      </c>
      <c r="AL5" s="10">
        <v>1379419</v>
      </c>
      <c r="AM5" s="10">
        <v>5034358</v>
      </c>
      <c r="AN5" s="10">
        <v>3034765</v>
      </c>
      <c r="AO5" s="10">
        <v>8410691</v>
      </c>
      <c r="AP5" s="155">
        <v>26297458</v>
      </c>
      <c r="AQ5" s="155">
        <v>96827149</v>
      </c>
      <c r="AR5" s="10">
        <f>1182407+53362338+6670616</f>
        <v>61215361</v>
      </c>
      <c r="AS5" s="10">
        <f>4293063+206561788+24433590</f>
        <v>235288441</v>
      </c>
      <c r="AT5" s="10">
        <v>30294335</v>
      </c>
      <c r="AU5" s="10">
        <v>109244417</v>
      </c>
      <c r="AV5" s="10">
        <v>322838</v>
      </c>
      <c r="AW5" s="10">
        <v>1143021</v>
      </c>
      <c r="AX5" s="10">
        <f>10485615+18356+545913</f>
        <v>11049884</v>
      </c>
      <c r="AY5" s="10">
        <f>39046513+64008+1675581</f>
        <v>40786102</v>
      </c>
      <c r="AZ5" s="10">
        <v>4473437</v>
      </c>
      <c r="BA5" s="10">
        <v>15084507</v>
      </c>
      <c r="BB5" s="10">
        <f>51197+22220741+102871</f>
        <v>22374809</v>
      </c>
      <c r="BC5" s="10">
        <f>199703+22220741+380712</f>
        <v>22801156</v>
      </c>
      <c r="BD5" s="10">
        <v>7159849</v>
      </c>
      <c r="BE5" s="10">
        <v>30306946</v>
      </c>
      <c r="BF5" s="36">
        <v>5797865</v>
      </c>
      <c r="BG5" s="36">
        <v>22700423</v>
      </c>
      <c r="BH5" s="10">
        <v>17489714</v>
      </c>
      <c r="BI5" s="10">
        <v>46840921</v>
      </c>
      <c r="BJ5" s="10">
        <v>11622745</v>
      </c>
      <c r="BK5" s="10">
        <v>48527980</v>
      </c>
      <c r="BL5" s="10">
        <v>40858785</v>
      </c>
      <c r="BM5" s="10">
        <v>137445418</v>
      </c>
      <c r="BN5" s="10">
        <v>152060</v>
      </c>
      <c r="BO5" s="10">
        <v>588251</v>
      </c>
      <c r="BP5" s="81">
        <f>B5+D5+F5+H5+J5+L5+N5+P5+R5+T5+V5+X5+Z5+AB5+AD5+AF5+AH5+AJ5+AL5+AN5+AP5+AR5+AT5+AV5+AX5+AZ5+BB5+BD5+BF5+BH5+BJ5+BL5+BN5</f>
        <v>353804644.13999999</v>
      </c>
      <c r="BQ5" s="81">
        <f>C5+E5+G5+I5+K5+M5+O5+Q5+S5+U5+W5+Y5+AA5+AC5+AE5+AG5+AI5+AK5+AM5+AO5+AQ5+AS5+AU5+AW5+AY5+BA5+BC5+BE5+BG5+BI5+BK5+BM5+BO5</f>
        <v>1249218446.1900001</v>
      </c>
    </row>
    <row r="6" spans="1:69" ht="30" x14ac:dyDescent="0.25">
      <c r="A6" s="2" t="s">
        <v>35</v>
      </c>
      <c r="B6" s="10">
        <v>11241</v>
      </c>
      <c r="C6" s="10">
        <v>37592</v>
      </c>
      <c r="D6" s="10">
        <v>275</v>
      </c>
      <c r="E6" s="10">
        <v>23658</v>
      </c>
      <c r="F6" s="10">
        <v>38803</v>
      </c>
      <c r="G6" s="10">
        <v>38803</v>
      </c>
      <c r="H6" s="10">
        <v>22479</v>
      </c>
      <c r="I6" s="10">
        <v>245168</v>
      </c>
      <c r="J6" s="10">
        <v>12418</v>
      </c>
      <c r="K6" s="10">
        <v>1788195</v>
      </c>
      <c r="L6" s="10">
        <v>82445</v>
      </c>
      <c r="M6" s="10">
        <v>522093</v>
      </c>
      <c r="N6" s="10">
        <f>1907+604917+39739</f>
        <v>646563</v>
      </c>
      <c r="O6" s="10">
        <f>4116+1570220+62354</f>
        <v>1636690</v>
      </c>
      <c r="P6" s="10">
        <v>2076</v>
      </c>
      <c r="Q6" s="10">
        <v>14406</v>
      </c>
      <c r="R6" s="10">
        <v>-1392</v>
      </c>
      <c r="S6" s="10">
        <v>11111</v>
      </c>
      <c r="T6" s="10">
        <f>-526.33+18214.9</f>
        <v>17688.57</v>
      </c>
      <c r="U6" s="10">
        <f>-146354.48+405364.86</f>
        <v>259010.37999999998</v>
      </c>
      <c r="V6" s="10">
        <v>229769</v>
      </c>
      <c r="W6" s="10">
        <v>298299</v>
      </c>
      <c r="X6" s="10">
        <f>-11754+24231</f>
        <v>12477</v>
      </c>
      <c r="Y6" s="10">
        <f>-14043+57922</f>
        <v>43879</v>
      </c>
      <c r="Z6" s="10">
        <v>316469</v>
      </c>
      <c r="AA6" s="10">
        <v>631926</v>
      </c>
      <c r="AB6" s="10">
        <v>738987</v>
      </c>
      <c r="AC6" s="10">
        <v>2445578</v>
      </c>
      <c r="AD6" s="10">
        <f>590+901+49827</f>
        <v>51318</v>
      </c>
      <c r="AE6" s="10">
        <f>4008+5711+296751</f>
        <v>306470</v>
      </c>
      <c r="AF6" s="10">
        <v>-1666</v>
      </c>
      <c r="AG6" s="10">
        <v>57597</v>
      </c>
      <c r="AH6" s="10">
        <f>-178-451-6786</f>
        <v>-7415</v>
      </c>
      <c r="AI6" s="10">
        <f>557+1592+29147</f>
        <v>31296</v>
      </c>
      <c r="AJ6" s="10">
        <v>104771</v>
      </c>
      <c r="AK6" s="10">
        <v>509052</v>
      </c>
      <c r="AL6" s="10">
        <v>5240</v>
      </c>
      <c r="AM6" s="10">
        <v>86018</v>
      </c>
      <c r="AN6" s="10">
        <v>3879</v>
      </c>
      <c r="AO6" s="10">
        <v>28124</v>
      </c>
      <c r="AP6" s="155">
        <v>1014608</v>
      </c>
      <c r="AQ6" s="155">
        <v>5911530</v>
      </c>
      <c r="AR6" s="10">
        <f>82125+3509363+573141</f>
        <v>4164629</v>
      </c>
      <c r="AS6" s="10">
        <f>466720+19941291+3256774</f>
        <v>23664785</v>
      </c>
      <c r="AT6" s="10">
        <v>4002315</v>
      </c>
      <c r="AU6" s="10">
        <v>17226638</v>
      </c>
      <c r="AV6" s="10">
        <v>4428</v>
      </c>
      <c r="AW6" s="10">
        <v>12088</v>
      </c>
      <c r="AX6" s="10">
        <f>438112+838+14535</f>
        <v>453485</v>
      </c>
      <c r="AY6" s="10">
        <f>1303922+4031+46795</f>
        <v>1354748</v>
      </c>
      <c r="AZ6" s="10">
        <v>7404</v>
      </c>
      <c r="BA6" s="10">
        <v>45751</v>
      </c>
      <c r="BB6" s="10">
        <f>549+276768+2808</f>
        <v>280125</v>
      </c>
      <c r="BC6" s="10">
        <f>1904+276768+9143</f>
        <v>287815</v>
      </c>
      <c r="BD6" s="10">
        <v>105972</v>
      </c>
      <c r="BE6" s="10">
        <v>394834</v>
      </c>
      <c r="BF6" s="36">
        <v>927487</v>
      </c>
      <c r="BG6" s="36">
        <v>926826</v>
      </c>
      <c r="BH6" s="10">
        <v>-2164</v>
      </c>
      <c r="BI6" s="10">
        <v>37527</v>
      </c>
      <c r="BJ6" s="10">
        <v>-300764</v>
      </c>
      <c r="BK6" s="10">
        <v>629517</v>
      </c>
      <c r="BL6" s="10">
        <v>3632363</v>
      </c>
      <c r="BM6" s="10">
        <v>11324225</v>
      </c>
      <c r="BN6" s="10">
        <v>-2817</v>
      </c>
      <c r="BO6" s="10">
        <v>-836</v>
      </c>
      <c r="BP6" s="81">
        <f t="shared" ref="BP6:BP8" si="0">B6+D6+F6+H6+J6+L6+N6+P6+R6+T6+V6+X6+Z6+AB6+AD6+AF6+AH6+AJ6+AL6+AN6+AP6+AR6+AT6+AV6+AX6+AZ6+BB6+BD6+BF6+BH6+BJ6+BL6+BN6</f>
        <v>16573496.57</v>
      </c>
      <c r="BQ6" s="81">
        <f t="shared" ref="BQ6:BQ8" si="1">C6+E6+G6+I6+K6+M6+O6+Q6+S6+U6+W6+Y6+AA6+AC6+AE6+AG6+AI6+AK6+AM6+AO6+AQ6+AS6+AU6+AW6+AY6+BA6+BC6+BE6+BG6+BI6+BK6+BM6+BO6</f>
        <v>70830413.379999995</v>
      </c>
    </row>
    <row r="7" spans="1:69" x14ac:dyDescent="0.25">
      <c r="A7" s="2" t="s">
        <v>36</v>
      </c>
      <c r="B7" s="10">
        <f t="shared" ref="B7" si="2">B9-B8-B6-B5</f>
        <v>0</v>
      </c>
      <c r="C7" s="10">
        <f t="shared" ref="C7:K7" si="3">C9-C8-C6-C5</f>
        <v>0</v>
      </c>
      <c r="D7" s="10">
        <f t="shared" si="3"/>
        <v>-2749</v>
      </c>
      <c r="E7" s="10">
        <f t="shared" si="3"/>
        <v>-8499</v>
      </c>
      <c r="F7" s="10">
        <f t="shared" si="3"/>
        <v>128287</v>
      </c>
      <c r="G7" s="10">
        <f t="shared" si="3"/>
        <v>667880</v>
      </c>
      <c r="H7" s="10">
        <f t="shared" si="3"/>
        <v>1175934</v>
      </c>
      <c r="I7" s="10">
        <f t="shared" si="3"/>
        <v>1205275</v>
      </c>
      <c r="J7" s="10">
        <f t="shared" si="3"/>
        <v>549925</v>
      </c>
      <c r="K7" s="10">
        <f t="shared" si="3"/>
        <v>602624</v>
      </c>
      <c r="L7" s="10">
        <f t="shared" ref="L7:BO7" si="4">L9-L8-L6-L5</f>
        <v>2170229</v>
      </c>
      <c r="M7" s="10">
        <f t="shared" si="4"/>
        <v>2157643</v>
      </c>
      <c r="N7" s="10">
        <f t="shared" si="4"/>
        <v>890868</v>
      </c>
      <c r="O7" s="10">
        <f t="shared" si="4"/>
        <v>914437</v>
      </c>
      <c r="P7" s="10">
        <f t="shared" si="4"/>
        <v>0</v>
      </c>
      <c r="Q7" s="10">
        <f t="shared" si="4"/>
        <v>21549</v>
      </c>
      <c r="R7" s="10">
        <f t="shared" si="4"/>
        <v>712</v>
      </c>
      <c r="S7" s="10">
        <f t="shared" si="4"/>
        <v>1963</v>
      </c>
      <c r="T7" s="10">
        <f t="shared" si="4"/>
        <v>10220.219999999739</v>
      </c>
      <c r="U7" s="10">
        <f t="shared" si="4"/>
        <v>22458.390000000596</v>
      </c>
      <c r="V7" s="10">
        <f t="shared" si="4"/>
        <v>-84</v>
      </c>
      <c r="W7" s="10">
        <f t="shared" si="4"/>
        <v>1001</v>
      </c>
      <c r="X7" s="10">
        <f t="shared" si="4"/>
        <v>1</v>
      </c>
      <c r="Y7" s="10">
        <f t="shared" ref="Y7" si="5">Y9-Y8-Y6-Y5</f>
        <v>0</v>
      </c>
      <c r="Z7" s="10">
        <f t="shared" si="4"/>
        <v>23336</v>
      </c>
      <c r="AA7" s="10">
        <f t="shared" ref="AA7" si="6">AA9-AA8-AA6-AA5</f>
        <v>76520</v>
      </c>
      <c r="AB7" s="10">
        <f t="shared" si="4"/>
        <v>868716</v>
      </c>
      <c r="AC7" s="10">
        <f t="shared" ref="AC7" si="7">AC9-AC8-AC6-AC5</f>
        <v>1067349</v>
      </c>
      <c r="AD7" s="10">
        <f t="shared" si="4"/>
        <v>-15716</v>
      </c>
      <c r="AE7" s="10">
        <f t="shared" ref="AE7" si="8">AE9-AE8-AE6-AE5</f>
        <v>-13374</v>
      </c>
      <c r="AF7" s="10">
        <f t="shared" si="4"/>
        <v>182</v>
      </c>
      <c r="AG7" s="10">
        <f t="shared" ref="AG7" si="9">AG9-AG8-AG6-AG5</f>
        <v>675</v>
      </c>
      <c r="AH7" s="10">
        <f t="shared" si="4"/>
        <v>1131534</v>
      </c>
      <c r="AI7" s="10">
        <f t="shared" si="4"/>
        <v>1131534</v>
      </c>
      <c r="AJ7" s="10">
        <f t="shared" si="4"/>
        <v>-15020</v>
      </c>
      <c r="AK7" s="10">
        <f t="shared" si="4"/>
        <v>86538</v>
      </c>
      <c r="AL7" s="10">
        <f t="shared" si="4"/>
        <v>1483229</v>
      </c>
      <c r="AM7" s="10">
        <f t="shared" si="4"/>
        <v>1483228</v>
      </c>
      <c r="AN7" s="10">
        <f t="shared" si="4"/>
        <v>564609</v>
      </c>
      <c r="AO7" s="10">
        <f t="shared" ref="AO7" si="10">AO9-AO8-AO6-AO5</f>
        <v>1494274</v>
      </c>
      <c r="AP7" s="10">
        <f t="shared" si="4"/>
        <v>12616377</v>
      </c>
      <c r="AQ7" s="10">
        <f t="shared" ref="AQ7" si="11">AQ9-AQ8-AQ6-AQ5</f>
        <v>12616377</v>
      </c>
      <c r="AR7" s="10">
        <f t="shared" si="4"/>
        <v>2</v>
      </c>
      <c r="AS7" s="10">
        <f t="shared" si="4"/>
        <v>0</v>
      </c>
      <c r="AT7" s="10">
        <f t="shared" si="4"/>
        <v>71650</v>
      </c>
      <c r="AU7" s="10">
        <f t="shared" si="4"/>
        <v>-498276</v>
      </c>
      <c r="AV7" s="10">
        <f t="shared" si="4"/>
        <v>152201</v>
      </c>
      <c r="AW7" s="10">
        <f t="shared" si="4"/>
        <v>439844</v>
      </c>
      <c r="AX7" s="10">
        <f t="shared" si="4"/>
        <v>3659</v>
      </c>
      <c r="AY7" s="10">
        <f t="shared" si="4"/>
        <v>7786</v>
      </c>
      <c r="AZ7" s="10">
        <f t="shared" si="4"/>
        <v>2058895</v>
      </c>
      <c r="BA7" s="10">
        <f t="shared" ref="BA7" si="12">BA9-BA8-BA6-BA5</f>
        <v>2058894</v>
      </c>
      <c r="BB7" s="10">
        <f t="shared" si="4"/>
        <v>3976</v>
      </c>
      <c r="BC7" s="10">
        <f t="shared" si="4"/>
        <v>5860</v>
      </c>
      <c r="BD7" s="10">
        <f t="shared" si="4"/>
        <v>9807</v>
      </c>
      <c r="BE7" s="10">
        <f t="shared" ref="BE7" si="13">BE9-BE8-BE6-BE5</f>
        <v>-204089</v>
      </c>
      <c r="BF7" s="10">
        <f t="shared" si="4"/>
        <v>5056</v>
      </c>
      <c r="BG7" s="10">
        <f t="shared" si="4"/>
        <v>36203</v>
      </c>
      <c r="BH7" s="10">
        <f t="shared" ref="BH7:BI7" si="14">BH9-BH8-BH6-BH5</f>
        <v>0</v>
      </c>
      <c r="BI7" s="10">
        <f t="shared" si="14"/>
        <v>0</v>
      </c>
      <c r="BJ7" s="10">
        <f t="shared" si="4"/>
        <v>32545</v>
      </c>
      <c r="BK7" s="10">
        <f t="shared" ref="BK7:BM7" si="15">BK9-BK8-BK6-BK5</f>
        <v>76871</v>
      </c>
      <c r="BL7" s="10">
        <f t="shared" si="15"/>
        <v>8827</v>
      </c>
      <c r="BM7" s="10">
        <f t="shared" si="15"/>
        <v>19760</v>
      </c>
      <c r="BN7" s="10">
        <f t="shared" si="4"/>
        <v>5900</v>
      </c>
      <c r="BO7" s="10">
        <f t="shared" si="4"/>
        <v>10177</v>
      </c>
      <c r="BP7" s="81">
        <f t="shared" si="0"/>
        <v>23933108.219999999</v>
      </c>
      <c r="BQ7" s="81">
        <f t="shared" si="1"/>
        <v>25482482.390000001</v>
      </c>
    </row>
    <row r="8" spans="1:69" x14ac:dyDescent="0.25">
      <c r="A8" s="2" t="s">
        <v>37</v>
      </c>
      <c r="B8" s="10">
        <v>36517</v>
      </c>
      <c r="C8" s="10">
        <v>128658</v>
      </c>
      <c r="D8" s="7">
        <v>102689</v>
      </c>
      <c r="E8" s="10">
        <v>332396</v>
      </c>
      <c r="F8" s="10">
        <v>898228</v>
      </c>
      <c r="G8" s="10">
        <v>3721661</v>
      </c>
      <c r="H8" s="10">
        <v>254869</v>
      </c>
      <c r="I8" s="10">
        <v>1011863</v>
      </c>
      <c r="J8" s="10">
        <v>2546607</v>
      </c>
      <c r="K8" s="10">
        <v>10176755</v>
      </c>
      <c r="L8" s="10">
        <v>721769</v>
      </c>
      <c r="M8" s="10">
        <v>2842896</v>
      </c>
      <c r="N8" s="10">
        <f>5073+1475460+117558</f>
        <v>1598091</v>
      </c>
      <c r="O8" s="10">
        <f>13360+5098492+202399</f>
        <v>5314251</v>
      </c>
      <c r="P8" s="10">
        <v>33498</v>
      </c>
      <c r="Q8" s="10">
        <v>138139</v>
      </c>
      <c r="R8" s="10">
        <v>23035</v>
      </c>
      <c r="S8" s="10">
        <v>41152</v>
      </c>
      <c r="T8" s="10">
        <v>1285487.4099999999</v>
      </c>
      <c r="U8" s="10">
        <v>4913519.6900000004</v>
      </c>
      <c r="V8" s="10">
        <v>667627</v>
      </c>
      <c r="W8" s="10">
        <v>2614077</v>
      </c>
      <c r="X8" s="10">
        <v>450220</v>
      </c>
      <c r="Y8" s="10">
        <v>1191069</v>
      </c>
      <c r="Z8" s="10">
        <v>1978319</v>
      </c>
      <c r="AA8" s="10">
        <v>6605638</v>
      </c>
      <c r="AB8" s="10">
        <v>3444722</v>
      </c>
      <c r="AC8" s="10">
        <v>12979478</v>
      </c>
      <c r="AD8" s="10">
        <f>17265+25475+1367004</f>
        <v>1409744</v>
      </c>
      <c r="AE8" s="10">
        <f>66421+94640+4917876</f>
        <v>5078937</v>
      </c>
      <c r="AF8" s="10">
        <v>91271</v>
      </c>
      <c r="AG8" s="10">
        <v>300732</v>
      </c>
      <c r="AH8" s="10">
        <f>6637+10518+409207</f>
        <v>426362</v>
      </c>
      <c r="AI8" s="10">
        <f>24595+57266+1286920</f>
        <v>1368781</v>
      </c>
      <c r="AJ8" s="10">
        <v>346711</v>
      </c>
      <c r="AK8" s="10">
        <v>1250211</v>
      </c>
      <c r="AL8" s="10">
        <v>63544</v>
      </c>
      <c r="AM8" s="10">
        <v>247225</v>
      </c>
      <c r="AN8" s="10">
        <v>77422</v>
      </c>
      <c r="AO8" s="10">
        <v>362512</v>
      </c>
      <c r="AP8" s="155">
        <v>3714278</v>
      </c>
      <c r="AQ8" s="155">
        <v>13391035</v>
      </c>
      <c r="AR8" s="10">
        <f>113294+4841053+790630</f>
        <v>5744977</v>
      </c>
      <c r="AS8" s="10">
        <f>454393+19414565+3170750</f>
        <v>23039708</v>
      </c>
      <c r="AT8" s="10">
        <v>4120116</v>
      </c>
      <c r="AU8" s="10">
        <v>14231364</v>
      </c>
      <c r="AV8" s="10">
        <v>68114</v>
      </c>
      <c r="AW8" s="10">
        <v>214468</v>
      </c>
      <c r="AX8" s="10">
        <f>1717897+2504+55193</f>
        <v>1775594</v>
      </c>
      <c r="AY8" s="10">
        <f>6424259+19859+230552</f>
        <v>6674670</v>
      </c>
      <c r="AZ8" s="10">
        <v>246134</v>
      </c>
      <c r="BA8" s="10">
        <v>921570</v>
      </c>
      <c r="BB8" s="10">
        <f>4958+2945959+38328</f>
        <v>2989245</v>
      </c>
      <c r="BC8" s="10">
        <f>18974+2945959+121184</f>
        <v>3086117</v>
      </c>
      <c r="BD8" s="10">
        <v>992222</v>
      </c>
      <c r="BE8" s="10">
        <v>3810092</v>
      </c>
      <c r="BF8" s="36">
        <v>1553970</v>
      </c>
      <c r="BG8" s="36">
        <v>6147563</v>
      </c>
      <c r="BH8" s="10">
        <v>382909</v>
      </c>
      <c r="BI8" s="10">
        <v>1658627</v>
      </c>
      <c r="BJ8" s="10">
        <v>1762162</v>
      </c>
      <c r="BK8" s="10">
        <v>6681238</v>
      </c>
      <c r="BL8" s="10">
        <v>4581328</v>
      </c>
      <c r="BM8" s="10">
        <v>18409001</v>
      </c>
      <c r="BN8" s="10">
        <v>15173</v>
      </c>
      <c r="BO8" s="10">
        <v>112100</v>
      </c>
      <c r="BP8" s="81">
        <f t="shared" si="0"/>
        <v>44402954.409999996</v>
      </c>
      <c r="BQ8" s="81">
        <f t="shared" si="1"/>
        <v>158997503.69</v>
      </c>
    </row>
    <row r="9" spans="1:69" s="8" customFormat="1" x14ac:dyDescent="0.25">
      <c r="A9" s="3" t="s">
        <v>38</v>
      </c>
      <c r="B9" s="11">
        <v>464111</v>
      </c>
      <c r="C9" s="11">
        <v>1813204</v>
      </c>
      <c r="D9" s="11">
        <v>2254643</v>
      </c>
      <c r="E9" s="11">
        <v>6201634</v>
      </c>
      <c r="F9" s="11">
        <v>4574432</v>
      </c>
      <c r="G9" s="11">
        <v>22891433</v>
      </c>
      <c r="H9" s="11">
        <v>8575271</v>
      </c>
      <c r="I9" s="11">
        <v>21545663</v>
      </c>
      <c r="J9" s="11">
        <v>22831581</v>
      </c>
      <c r="K9" s="11">
        <v>94629396</v>
      </c>
      <c r="L9" s="11">
        <v>7923908</v>
      </c>
      <c r="M9" s="11">
        <v>23819204</v>
      </c>
      <c r="N9" s="11">
        <f>65315+11316099+418618</f>
        <v>11800032</v>
      </c>
      <c r="O9" s="11">
        <f>218127+40760007+1257268</f>
        <v>42235402</v>
      </c>
      <c r="P9" s="11">
        <v>237911</v>
      </c>
      <c r="Q9" s="11">
        <v>1398387</v>
      </c>
      <c r="R9" s="11">
        <v>301698</v>
      </c>
      <c r="S9" s="11">
        <v>979685</v>
      </c>
      <c r="T9" s="11">
        <v>3667388.34</v>
      </c>
      <c r="U9" s="11">
        <v>13506539.65</v>
      </c>
      <c r="V9" s="11">
        <v>6456435</v>
      </c>
      <c r="W9" s="11">
        <v>22729189</v>
      </c>
      <c r="X9" s="11">
        <v>4199549</v>
      </c>
      <c r="Y9" s="11">
        <v>13648410</v>
      </c>
      <c r="Z9" s="11">
        <v>13084448</v>
      </c>
      <c r="AA9" s="11">
        <v>51148957</v>
      </c>
      <c r="AB9" s="11">
        <v>28507856</v>
      </c>
      <c r="AC9" s="11">
        <v>110527575</v>
      </c>
      <c r="AD9" s="11">
        <f>226549+200182+12499062</f>
        <v>12925793</v>
      </c>
      <c r="AE9" s="11">
        <f>806312+683646+50135288</f>
        <v>51625246</v>
      </c>
      <c r="AF9" s="11">
        <v>907253</v>
      </c>
      <c r="AG9" s="11">
        <v>3267899</v>
      </c>
      <c r="AH9" s="11">
        <f>105791+27832+4569845</f>
        <v>4703468</v>
      </c>
      <c r="AI9" s="11">
        <f>294683+146504+13697494</f>
        <v>14138681</v>
      </c>
      <c r="AJ9" s="11">
        <v>2374991</v>
      </c>
      <c r="AK9" s="11">
        <v>8928771</v>
      </c>
      <c r="AL9" s="11">
        <v>2931432</v>
      </c>
      <c r="AM9" s="11">
        <v>6850829</v>
      </c>
      <c r="AN9" s="11">
        <v>3680675</v>
      </c>
      <c r="AO9" s="11">
        <v>10295601</v>
      </c>
      <c r="AP9" s="156">
        <v>43642721</v>
      </c>
      <c r="AQ9" s="156">
        <v>128746091</v>
      </c>
      <c r="AR9" s="11">
        <f>1377827+61712755+8034387</f>
        <v>71124969</v>
      </c>
      <c r="AS9" s="11">
        <f>5214176+245917644+30861114</f>
        <v>281992934</v>
      </c>
      <c r="AT9" s="11">
        <v>38488416</v>
      </c>
      <c r="AU9" s="11">
        <v>140204143</v>
      </c>
      <c r="AV9" s="11">
        <v>547581</v>
      </c>
      <c r="AW9" s="11">
        <v>1809421</v>
      </c>
      <c r="AX9" s="11">
        <f>12645283+21698+615641</f>
        <v>13282622</v>
      </c>
      <c r="AY9" s="11">
        <f>46782480+87898+1952928</f>
        <v>48823306</v>
      </c>
      <c r="AZ9" s="11">
        <v>6785870</v>
      </c>
      <c r="BA9" s="11">
        <v>18110722</v>
      </c>
      <c r="BB9" s="11">
        <f>56727+25446685+144743</f>
        <v>25648155</v>
      </c>
      <c r="BC9" s="11">
        <f>220803+25446685+513460</f>
        <v>26180948</v>
      </c>
      <c r="BD9" s="11">
        <v>8267850</v>
      </c>
      <c r="BE9" s="11">
        <v>34307783</v>
      </c>
      <c r="BF9" s="11">
        <v>8284378</v>
      </c>
      <c r="BG9" s="11">
        <v>29811015</v>
      </c>
      <c r="BH9" s="11">
        <v>17870459</v>
      </c>
      <c r="BI9" s="11">
        <v>48537075</v>
      </c>
      <c r="BJ9" s="11">
        <v>13116688</v>
      </c>
      <c r="BK9" s="11">
        <v>55915606</v>
      </c>
      <c r="BL9" s="11">
        <v>49081303</v>
      </c>
      <c r="BM9" s="11">
        <v>167198404</v>
      </c>
      <c r="BN9" s="11">
        <v>170316</v>
      </c>
      <c r="BO9" s="11">
        <v>709692</v>
      </c>
      <c r="BP9" s="76">
        <f>B9+D9+F9+H9+J9+L9+N9+P9+R9+T9+V9+X9+Z9+AB9+AD9+AF9+AH9+AJ9+AL9+AN9+AP9+AR9+AT9+AV9+AX9+AZ9+BB9+BD9+BF9+BH9+BJ9+BL9+BN9</f>
        <v>438714203.34000003</v>
      </c>
      <c r="BQ9" s="76">
        <f>C9+E9+G9+I9+K9+M9+O9+Q9+S9+U9+W9+Y9+AA9+AC9+AE9+AG9+AI9+AK9+AM9+AO9+AQ9+AS9+AU9+AW9+AY9+BA9+BC9+BE9+BG9+BI9+BK9+BM9+BO9</f>
        <v>1504528845.6500001</v>
      </c>
    </row>
    <row r="10" spans="1:69" x14ac:dyDescent="0.25">
      <c r="A10" s="2" t="s">
        <v>39</v>
      </c>
      <c r="B10" s="10">
        <v>185399</v>
      </c>
      <c r="C10" s="10">
        <v>993622</v>
      </c>
      <c r="D10" s="10">
        <v>719531</v>
      </c>
      <c r="E10" s="10">
        <v>2873257</v>
      </c>
      <c r="F10" s="10">
        <v>3755156</v>
      </c>
      <c r="G10" s="10">
        <v>21310882</v>
      </c>
      <c r="H10" s="10">
        <v>3683647</v>
      </c>
      <c r="I10" s="10">
        <v>14062273</v>
      </c>
      <c r="J10" s="10">
        <v>12248887</v>
      </c>
      <c r="K10" s="10">
        <v>58047889</v>
      </c>
      <c r="L10" s="10">
        <v>3738613</v>
      </c>
      <c r="M10" s="10">
        <v>14330954</v>
      </c>
      <c r="N10" s="10">
        <f>25406+6210112+47931</f>
        <v>6283449</v>
      </c>
      <c r="O10" s="10">
        <f>115181+25252110+405524</f>
        <v>25772815</v>
      </c>
      <c r="P10" s="10">
        <v>283389</v>
      </c>
      <c r="Q10" s="10">
        <v>814338</v>
      </c>
      <c r="R10" s="10">
        <v>328240</v>
      </c>
      <c r="S10" s="10">
        <v>1061547</v>
      </c>
      <c r="T10" s="10">
        <v>5090790.37</v>
      </c>
      <c r="U10" s="10">
        <v>9586203.9900000002</v>
      </c>
      <c r="V10" s="10">
        <v>3480859</v>
      </c>
      <c r="W10" s="10">
        <v>11821244</v>
      </c>
      <c r="X10" s="10">
        <v>2826805</v>
      </c>
      <c r="Y10" s="10">
        <v>9309726</v>
      </c>
      <c r="Z10" s="10">
        <v>7813297</v>
      </c>
      <c r="AA10" s="10">
        <v>33841450</v>
      </c>
      <c r="AB10" s="10">
        <v>16399240</v>
      </c>
      <c r="AC10" s="10">
        <v>68515769</v>
      </c>
      <c r="AD10" s="10">
        <f>109062+27624+9919153</f>
        <v>10055839</v>
      </c>
      <c r="AE10" s="10">
        <f>471082+270532+40242150</f>
        <v>40983764</v>
      </c>
      <c r="AF10" s="10">
        <v>527986</v>
      </c>
      <c r="AG10" s="10">
        <v>2001341</v>
      </c>
      <c r="AH10" s="10">
        <f>63597+11187+2100313</f>
        <v>2175097</v>
      </c>
      <c r="AI10" s="10">
        <f>138683+1798+8265402</f>
        <v>8405883</v>
      </c>
      <c r="AJ10" s="10">
        <v>1620884</v>
      </c>
      <c r="AK10" s="10">
        <v>5974218</v>
      </c>
      <c r="AL10" s="10">
        <v>792721</v>
      </c>
      <c r="AM10" s="10">
        <v>3103170</v>
      </c>
      <c r="AN10" s="10">
        <v>1052640</v>
      </c>
      <c r="AO10" s="10">
        <v>4500691</v>
      </c>
      <c r="AP10" s="155">
        <v>29105515</v>
      </c>
      <c r="AQ10" s="155">
        <v>102499475</v>
      </c>
      <c r="AR10" s="10">
        <f>1061076+50417987+4290498</f>
        <v>55769561</v>
      </c>
      <c r="AS10" s="10">
        <f>2921070+193603827+18601291</f>
        <v>215126188</v>
      </c>
      <c r="AT10" s="10">
        <v>28688602</v>
      </c>
      <c r="AU10" s="10">
        <v>111796184</v>
      </c>
      <c r="AV10" s="10">
        <v>271644</v>
      </c>
      <c r="AW10" s="10">
        <v>859414</v>
      </c>
      <c r="AX10" s="10">
        <f>9125275+17254+101671</f>
        <v>9244200</v>
      </c>
      <c r="AY10" s="10">
        <f>33423387+70034+625809</f>
        <v>34119230</v>
      </c>
      <c r="AZ10" s="10">
        <v>2246392</v>
      </c>
      <c r="BA10" s="10">
        <v>8919448</v>
      </c>
      <c r="BB10" s="10">
        <f>23314+19071248+52850</f>
        <v>19147412</v>
      </c>
      <c r="BC10" s="10">
        <f>117758+19071248+199737</f>
        <v>19388743</v>
      </c>
      <c r="BD10" s="10">
        <v>4054197</v>
      </c>
      <c r="BE10" s="10">
        <v>21552877</v>
      </c>
      <c r="BF10" s="36">
        <v>3715018</v>
      </c>
      <c r="BG10" s="36">
        <v>14763914</v>
      </c>
      <c r="BH10" s="10">
        <v>8290672</v>
      </c>
      <c r="BI10" s="10">
        <v>30874267</v>
      </c>
      <c r="BJ10" s="10">
        <v>9809292</v>
      </c>
      <c r="BK10" s="10">
        <v>37582099</v>
      </c>
      <c r="BL10" s="10">
        <v>36369382</v>
      </c>
      <c r="BM10" s="10">
        <v>139453105</v>
      </c>
      <c r="BN10" s="10">
        <v>-10289</v>
      </c>
      <c r="BO10" s="10">
        <v>248992</v>
      </c>
      <c r="BP10" s="81">
        <f t="shared" ref="BP10:BP15" si="16">B10+D10+F10+H10+J10+L10+N10+P10+R10+T10+V10+X10+Z10+AB10+AD10+AF10+AH10+AJ10+AL10+AN10+AP10+AR10+AT10+AV10+AX10+AZ10+BB10+BD10+BF10+BH10+BJ10+BL10+BN10</f>
        <v>289764067.37</v>
      </c>
      <c r="BQ10" s="81">
        <f t="shared" ref="BQ10:BQ15" si="17">C10+E10+G10+I10+K10+M10+O10+Q10+S10+U10+W10+Y10+AA10+AC10+AE10+AG10+AI10+AK10+AM10+AO10+AQ10+AS10+AU10+AW10+AY10+BA10+BC10+BE10+BG10+BI10+BK10+BM10+BO10</f>
        <v>1074494972.99</v>
      </c>
    </row>
    <row r="11" spans="1:69" x14ac:dyDescent="0.25">
      <c r="A11" s="2" t="s">
        <v>40</v>
      </c>
      <c r="B11" s="10">
        <v>-76811</v>
      </c>
      <c r="C11" s="10">
        <v>-130290</v>
      </c>
      <c r="D11" s="10">
        <v>189030</v>
      </c>
      <c r="E11" s="10">
        <v>515040</v>
      </c>
      <c r="F11" s="10">
        <v>-415418</v>
      </c>
      <c r="G11" s="10">
        <v>-2658513</v>
      </c>
      <c r="H11" s="10">
        <v>614016</v>
      </c>
      <c r="I11" s="10">
        <v>1305340</v>
      </c>
      <c r="J11" s="10">
        <v>457865</v>
      </c>
      <c r="K11" s="10">
        <v>916337</v>
      </c>
      <c r="L11" s="10">
        <v>281202</v>
      </c>
      <c r="M11" s="10">
        <v>1079887</v>
      </c>
      <c r="N11" s="10">
        <f>-15817-196806-149180</f>
        <v>-361803</v>
      </c>
      <c r="O11" s="10">
        <f>-45368+664030-99075</f>
        <v>519587</v>
      </c>
      <c r="P11" s="10">
        <v>-17040</v>
      </c>
      <c r="Q11" s="10">
        <v>-34480</v>
      </c>
      <c r="R11" s="10">
        <v>35042</v>
      </c>
      <c r="S11" s="10">
        <v>51885</v>
      </c>
      <c r="T11" s="10">
        <v>-100201.89</v>
      </c>
      <c r="U11" s="10">
        <v>-371568.81</v>
      </c>
      <c r="V11" s="10">
        <v>246863</v>
      </c>
      <c r="W11" s="10">
        <v>887842</v>
      </c>
      <c r="X11" s="10">
        <v>171570</v>
      </c>
      <c r="Y11" s="10">
        <v>-195326</v>
      </c>
      <c r="Z11" s="10">
        <v>-664072</v>
      </c>
      <c r="AA11" s="10">
        <v>-2334193</v>
      </c>
      <c r="AB11" s="10">
        <v>1703869</v>
      </c>
      <c r="AC11" s="10">
        <v>3639935</v>
      </c>
      <c r="AD11" s="10">
        <f>-2506-252021+601818</f>
        <v>347291</v>
      </c>
      <c r="AE11" s="10">
        <f>-16136-537062+2206873</f>
        <v>1653675</v>
      </c>
      <c r="AF11" s="10">
        <v>71497</v>
      </c>
      <c r="AG11" s="10">
        <v>280530</v>
      </c>
      <c r="AH11" s="10">
        <f>9531-29553+363523</f>
        <v>343501</v>
      </c>
      <c r="AI11" s="10">
        <f>42572-32224+1419239</f>
        <v>1429587</v>
      </c>
      <c r="AJ11" s="10">
        <v>-120876</v>
      </c>
      <c r="AK11" s="10">
        <v>-629039</v>
      </c>
      <c r="AL11" s="10">
        <v>190698</v>
      </c>
      <c r="AM11" s="10">
        <v>630251</v>
      </c>
      <c r="AN11" s="10">
        <v>303633</v>
      </c>
      <c r="AO11" s="10">
        <v>428756</v>
      </c>
      <c r="AP11" s="155">
        <v>2843261</v>
      </c>
      <c r="AQ11" s="155">
        <v>8041639</v>
      </c>
      <c r="AR11" s="10">
        <f>253146+5050417+1025898</f>
        <v>6329461</v>
      </c>
      <c r="AS11" s="10">
        <f>727087+17888710+4321779</f>
        <v>22937576</v>
      </c>
      <c r="AT11" s="10">
        <v>2623163</v>
      </c>
      <c r="AU11" s="10">
        <v>8171164</v>
      </c>
      <c r="AV11" s="10">
        <v>35422</v>
      </c>
      <c r="AW11" s="10">
        <v>110730</v>
      </c>
      <c r="AX11" s="10">
        <f>-536693-21623-76750</f>
        <v>-635066</v>
      </c>
      <c r="AY11" s="10">
        <f>-1563747-31101-609529</f>
        <v>-2204377</v>
      </c>
      <c r="AZ11" s="10">
        <v>10227</v>
      </c>
      <c r="BA11" s="10">
        <v>-221701</v>
      </c>
      <c r="BB11" s="10">
        <f>9007+1465700-3449</f>
        <v>1471258</v>
      </c>
      <c r="BC11" s="10">
        <f>26934+1465700+24180</f>
        <v>1516814</v>
      </c>
      <c r="BD11" s="10">
        <v>-426533</v>
      </c>
      <c r="BE11" s="10">
        <v>-1081599</v>
      </c>
      <c r="BF11" s="36">
        <v>315548</v>
      </c>
      <c r="BG11" s="36">
        <v>1235147</v>
      </c>
      <c r="BH11" s="10">
        <v>62781</v>
      </c>
      <c r="BI11" s="10">
        <v>3404137</v>
      </c>
      <c r="BJ11" s="10">
        <v>193462</v>
      </c>
      <c r="BK11" s="10">
        <v>-302004</v>
      </c>
      <c r="BL11" s="10">
        <v>2959031</v>
      </c>
      <c r="BM11" s="10">
        <v>7647056</v>
      </c>
      <c r="BN11" s="10">
        <v>26400</v>
      </c>
      <c r="BO11" s="10">
        <v>46840</v>
      </c>
      <c r="BP11" s="81">
        <f t="shared" si="16"/>
        <v>19008270.109999999</v>
      </c>
      <c r="BQ11" s="81">
        <f t="shared" si="17"/>
        <v>56286664.189999998</v>
      </c>
    </row>
    <row r="12" spans="1:69" ht="30" x14ac:dyDescent="0.25">
      <c r="A12" s="2" t="s">
        <v>41</v>
      </c>
      <c r="B12" s="10">
        <v>685059</v>
      </c>
      <c r="C12" s="10">
        <v>2964147</v>
      </c>
      <c r="D12" s="10">
        <v>1963938</v>
      </c>
      <c r="E12" s="10">
        <v>5295823</v>
      </c>
      <c r="F12" s="10">
        <v>856658</v>
      </c>
      <c r="G12" s="10">
        <v>2842856</v>
      </c>
      <c r="H12" s="10">
        <v>1507311</v>
      </c>
      <c r="I12" s="10">
        <v>6190707</v>
      </c>
      <c r="J12" s="10">
        <v>5429718</v>
      </c>
      <c r="K12" s="10">
        <v>23202954</v>
      </c>
      <c r="L12" s="10">
        <v>1895619</v>
      </c>
      <c r="M12" s="10">
        <v>7361795</v>
      </c>
      <c r="N12" s="10">
        <f>24808+2707321+120646</f>
        <v>2852775</v>
      </c>
      <c r="O12" s="10">
        <f>85009+10227016+240780</f>
        <v>10552805</v>
      </c>
      <c r="P12" s="10">
        <v>276067</v>
      </c>
      <c r="Q12" s="10">
        <v>1179492</v>
      </c>
      <c r="R12" s="10">
        <v>280881</v>
      </c>
      <c r="S12" s="10">
        <v>876440</v>
      </c>
      <c r="T12" s="10">
        <v>1068020.8999999999</v>
      </c>
      <c r="U12" s="10">
        <v>2676323.61</v>
      </c>
      <c r="V12" s="10">
        <v>2394836</v>
      </c>
      <c r="W12" s="10">
        <v>8560810</v>
      </c>
      <c r="X12" s="10">
        <v>1585337</v>
      </c>
      <c r="Y12" s="10">
        <v>6814435</v>
      </c>
      <c r="Z12" s="10">
        <v>3674321</v>
      </c>
      <c r="AA12" s="10">
        <v>14105577</v>
      </c>
      <c r="AB12" s="10">
        <v>5646620</v>
      </c>
      <c r="AC12" s="10">
        <v>22931019</v>
      </c>
      <c r="AD12" s="10">
        <f>28021+41013+2053648</f>
        <v>2122682</v>
      </c>
      <c r="AE12" s="10">
        <f>118377+123561+7200122</f>
        <v>7442060</v>
      </c>
      <c r="AF12" s="10">
        <v>409016</v>
      </c>
      <c r="AG12" s="10">
        <v>1365890</v>
      </c>
      <c r="AH12" s="10">
        <f>13576+3529+1048350</f>
        <v>1065455</v>
      </c>
      <c r="AI12" s="10">
        <f>66359+109274+4458169</f>
        <v>4633802</v>
      </c>
      <c r="AJ12" s="10">
        <v>879507</v>
      </c>
      <c r="AK12" s="10">
        <v>3505374</v>
      </c>
      <c r="AL12" s="10">
        <v>725368</v>
      </c>
      <c r="AM12" s="10">
        <v>2881132</v>
      </c>
      <c r="AN12" s="10">
        <v>1343697</v>
      </c>
      <c r="AO12" s="10">
        <v>4194575</v>
      </c>
      <c r="AP12" s="155">
        <v>18295008</v>
      </c>
      <c r="AQ12" s="155">
        <v>43880121</v>
      </c>
      <c r="AR12" s="10">
        <f>135776+8421119+1153385</f>
        <v>9710280</v>
      </c>
      <c r="AS12" s="10">
        <f>677485+33284011+4310789</f>
        <v>38272285</v>
      </c>
      <c r="AT12" s="10">
        <v>14700543</v>
      </c>
      <c r="AU12" s="10">
        <v>34425350</v>
      </c>
      <c r="AV12" s="10">
        <v>352740</v>
      </c>
      <c r="AW12" s="10">
        <v>948109</v>
      </c>
      <c r="AX12" s="10">
        <f>2352679-23328+225435</f>
        <v>2554786</v>
      </c>
      <c r="AY12" s="10">
        <f>11914161+34045+649645</f>
        <v>12597851</v>
      </c>
      <c r="AZ12" s="10">
        <v>1938680</v>
      </c>
      <c r="BA12" s="10">
        <v>6606359</v>
      </c>
      <c r="BB12" s="10">
        <f>11454+1236772+39581</f>
        <v>1287807</v>
      </c>
      <c r="BC12" s="10">
        <f>43742+4410198+169055</f>
        <v>4622995</v>
      </c>
      <c r="BD12" s="10">
        <v>2976764</v>
      </c>
      <c r="BE12" s="10">
        <v>9087230</v>
      </c>
      <c r="BF12" s="10"/>
      <c r="BG12" s="10"/>
      <c r="BH12" s="10">
        <v>3728174</v>
      </c>
      <c r="BI12" s="10">
        <v>11013224</v>
      </c>
      <c r="BJ12" s="10">
        <v>2950403</v>
      </c>
      <c r="BK12" s="10">
        <v>15479733</v>
      </c>
      <c r="BL12" s="10">
        <v>10748690</v>
      </c>
      <c r="BM12" s="10">
        <v>34329784</v>
      </c>
      <c r="BN12" s="10">
        <v>24926</v>
      </c>
      <c r="BO12" s="10">
        <v>92911</v>
      </c>
      <c r="BP12" s="81">
        <f t="shared" si="16"/>
        <v>105931686.90000001</v>
      </c>
      <c r="BQ12" s="81">
        <f t="shared" si="17"/>
        <v>350933968.61000001</v>
      </c>
    </row>
    <row r="13" spans="1:69" x14ac:dyDescent="0.25">
      <c r="A13" s="2" t="s">
        <v>44</v>
      </c>
      <c r="B13" s="10">
        <f>B14-B12-B11-B10</f>
        <v>35</v>
      </c>
      <c r="C13" s="10">
        <f t="shared" ref="C13:K13" si="18">C14-C12-C11-C10</f>
        <v>-34178</v>
      </c>
      <c r="D13" s="10">
        <f t="shared" si="18"/>
        <v>0</v>
      </c>
      <c r="E13" s="10">
        <f t="shared" si="18"/>
        <v>0</v>
      </c>
      <c r="F13" s="10">
        <f t="shared" si="18"/>
        <v>43161</v>
      </c>
      <c r="G13" s="10">
        <f t="shared" si="18"/>
        <v>157193</v>
      </c>
      <c r="H13" s="10">
        <f t="shared" si="18"/>
        <v>0</v>
      </c>
      <c r="I13" s="10">
        <f t="shared" si="18"/>
        <v>0</v>
      </c>
      <c r="J13" s="10">
        <f t="shared" si="18"/>
        <v>7462</v>
      </c>
      <c r="K13" s="10">
        <f t="shared" si="18"/>
        <v>31311</v>
      </c>
      <c r="L13" s="10">
        <f t="shared" ref="L13:BN13" si="19">L14-L12-L11-L10</f>
        <v>-22864</v>
      </c>
      <c r="M13" s="10">
        <f t="shared" si="19"/>
        <v>-1835</v>
      </c>
      <c r="N13" s="10">
        <f t="shared" si="19"/>
        <v>0</v>
      </c>
      <c r="O13" s="10">
        <f t="shared" si="19"/>
        <v>0</v>
      </c>
      <c r="P13" s="10">
        <f t="shared" si="19"/>
        <v>-65827</v>
      </c>
      <c r="Q13" s="10">
        <f t="shared" si="19"/>
        <v>-79046</v>
      </c>
      <c r="R13" s="10">
        <f t="shared" si="19"/>
        <v>28894</v>
      </c>
      <c r="S13" s="10">
        <f t="shared" si="19"/>
        <v>-33006</v>
      </c>
      <c r="T13" s="10">
        <f t="shared" si="19"/>
        <v>57247.910000000149</v>
      </c>
      <c r="U13" s="10">
        <f t="shared" si="19"/>
        <v>746473.16000000015</v>
      </c>
      <c r="V13" s="10">
        <f t="shared" si="19"/>
        <v>-1738915</v>
      </c>
      <c r="W13" s="10">
        <f t="shared" si="19"/>
        <v>-1738915</v>
      </c>
      <c r="X13" s="10">
        <f t="shared" si="19"/>
        <v>-1</v>
      </c>
      <c r="Y13" s="10">
        <f t="shared" ref="Y13" si="20">Y14-Y12-Y11-Y10</f>
        <v>-10955</v>
      </c>
      <c r="Z13" s="10">
        <f t="shared" si="19"/>
        <v>-1</v>
      </c>
      <c r="AA13" s="10">
        <f t="shared" ref="AA13" si="21">AA14-AA12-AA11-AA10</f>
        <v>0</v>
      </c>
      <c r="AB13" s="10">
        <f t="shared" si="19"/>
        <v>0</v>
      </c>
      <c r="AC13" s="10">
        <f t="shared" ref="AC13" si="22">AC14-AC12-AC11-AC10</f>
        <v>0</v>
      </c>
      <c r="AD13" s="10">
        <f t="shared" si="19"/>
        <v>0</v>
      </c>
      <c r="AE13" s="10">
        <f t="shared" ref="AE13" si="23">AE14-AE12-AE11-AE10</f>
        <v>0</v>
      </c>
      <c r="AF13" s="10">
        <f t="shared" si="19"/>
        <v>337</v>
      </c>
      <c r="AG13" s="10">
        <f t="shared" ref="AG13" si="24">AG14-AG12-AG11-AG10</f>
        <v>1192</v>
      </c>
      <c r="AH13" s="10">
        <f t="shared" si="19"/>
        <v>0</v>
      </c>
      <c r="AI13" s="10">
        <f t="shared" ref="AI13" si="25">AI14-AI12-AI11-AI10</f>
        <v>0</v>
      </c>
      <c r="AJ13" s="10">
        <f t="shared" si="19"/>
        <v>569</v>
      </c>
      <c r="AK13" s="10">
        <f t="shared" si="19"/>
        <v>338</v>
      </c>
      <c r="AL13" s="10">
        <f t="shared" si="19"/>
        <v>0</v>
      </c>
      <c r="AM13" s="10">
        <f t="shared" si="19"/>
        <v>0</v>
      </c>
      <c r="AN13" s="10">
        <f t="shared" si="19"/>
        <v>0</v>
      </c>
      <c r="AO13" s="10">
        <f t="shared" ref="AO13" si="26">AO14-AO12-AO11-AO10</f>
        <v>0</v>
      </c>
      <c r="AP13" s="10">
        <f t="shared" si="19"/>
        <v>61639</v>
      </c>
      <c r="AQ13" s="10">
        <f t="shared" ref="AQ13" si="27">AQ14-AQ12-AQ11-AQ10</f>
        <v>2198988</v>
      </c>
      <c r="AR13" s="10">
        <f t="shared" si="19"/>
        <v>722690</v>
      </c>
      <c r="AS13" s="10">
        <f t="shared" ref="AS13" si="28">AS14-AS12-AS11-AS10</f>
        <v>1527315</v>
      </c>
      <c r="AT13" s="10">
        <f t="shared" si="19"/>
        <v>0</v>
      </c>
      <c r="AU13" s="10">
        <f t="shared" ref="AU13" si="29">AU14-AU12-AU11-AU10</f>
        <v>-361036</v>
      </c>
      <c r="AV13" s="10">
        <f t="shared" si="19"/>
        <v>-1</v>
      </c>
      <c r="AW13" s="10">
        <f t="shared" ref="AW13" si="30">AW14-AW12-AW11-AW10</f>
        <v>-903</v>
      </c>
      <c r="AX13" s="10">
        <f t="shared" si="19"/>
        <v>0</v>
      </c>
      <c r="AY13" s="10">
        <f t="shared" si="19"/>
        <v>0</v>
      </c>
      <c r="AZ13" s="10">
        <f t="shared" si="19"/>
        <v>244562</v>
      </c>
      <c r="BA13" s="10">
        <f t="shared" ref="BA13" si="31">BA14-BA12-BA11-BA10</f>
        <v>244562</v>
      </c>
      <c r="BB13" s="10">
        <f t="shared" si="19"/>
        <v>0</v>
      </c>
      <c r="BC13" s="10">
        <f t="shared" si="19"/>
        <v>0</v>
      </c>
      <c r="BD13" s="10">
        <f t="shared" si="19"/>
        <v>0</v>
      </c>
      <c r="BE13" s="10">
        <f t="shared" ref="BE13" si="32">BE14-BE12-BE11-BE10</f>
        <v>0</v>
      </c>
      <c r="BF13" s="10">
        <f t="shared" si="19"/>
        <v>1433396</v>
      </c>
      <c r="BG13" s="10">
        <f t="shared" si="19"/>
        <v>4732002</v>
      </c>
      <c r="BH13" s="10">
        <f t="shared" ref="BH13:BI13" si="33">BH14-BH12-BH11-BH10</f>
        <v>142475</v>
      </c>
      <c r="BI13" s="10">
        <f t="shared" si="33"/>
        <v>-57525</v>
      </c>
      <c r="BJ13" s="10">
        <f t="shared" si="19"/>
        <v>0</v>
      </c>
      <c r="BK13" s="10">
        <f t="shared" ref="BK13:BM13" si="34">BK14-BK12-BK11-BK10</f>
        <v>0</v>
      </c>
      <c r="BL13" s="10">
        <f t="shared" si="34"/>
        <v>623757</v>
      </c>
      <c r="BM13" s="10">
        <f t="shared" si="34"/>
        <v>1798190</v>
      </c>
      <c r="BN13" s="10">
        <f t="shared" si="19"/>
        <v>0</v>
      </c>
      <c r="BO13" s="10">
        <f t="shared" ref="BO13" si="35">BO14-BO12-BO11-BO10</f>
        <v>0</v>
      </c>
      <c r="BP13" s="81">
        <f t="shared" si="16"/>
        <v>1538615.9100000001</v>
      </c>
      <c r="BQ13" s="81">
        <f t="shared" si="17"/>
        <v>9120165.1600000001</v>
      </c>
    </row>
    <row r="14" spans="1:69" s="8" customFormat="1" x14ac:dyDescent="0.25">
      <c r="A14" s="3" t="s">
        <v>42</v>
      </c>
      <c r="B14" s="11">
        <v>793682</v>
      </c>
      <c r="C14" s="11">
        <v>3793301</v>
      </c>
      <c r="D14" s="11">
        <v>2872499</v>
      </c>
      <c r="E14" s="11">
        <v>8684120</v>
      </c>
      <c r="F14" s="11">
        <v>4239557</v>
      </c>
      <c r="G14" s="11">
        <v>21652418</v>
      </c>
      <c r="H14" s="11">
        <v>5804974</v>
      </c>
      <c r="I14" s="11">
        <v>21558320</v>
      </c>
      <c r="J14" s="11">
        <v>18143932</v>
      </c>
      <c r="K14" s="11">
        <v>82198491</v>
      </c>
      <c r="L14" s="11">
        <v>5892570</v>
      </c>
      <c r="M14" s="11">
        <v>22770801</v>
      </c>
      <c r="N14" s="11">
        <f>34397+8720627+19397</f>
        <v>8774421</v>
      </c>
      <c r="O14" s="11">
        <f>154822+36143156+547229</f>
        <v>36845207</v>
      </c>
      <c r="P14" s="11">
        <v>476589</v>
      </c>
      <c r="Q14" s="11">
        <v>1880304</v>
      </c>
      <c r="R14" s="11">
        <v>673057</v>
      </c>
      <c r="S14" s="11">
        <v>1956866</v>
      </c>
      <c r="T14" s="11">
        <v>6115857.29</v>
      </c>
      <c r="U14" s="11">
        <v>12637431.949999999</v>
      </c>
      <c r="V14" s="11">
        <v>4383643</v>
      </c>
      <c r="W14" s="11">
        <v>19530981</v>
      </c>
      <c r="X14" s="11">
        <v>4583711</v>
      </c>
      <c r="Y14" s="11">
        <v>15917880</v>
      </c>
      <c r="Z14" s="11">
        <v>10823545</v>
      </c>
      <c r="AA14" s="11">
        <v>45612834</v>
      </c>
      <c r="AB14" s="11">
        <v>23749729</v>
      </c>
      <c r="AC14" s="11">
        <v>95086723</v>
      </c>
      <c r="AD14" s="11">
        <f>134577-183384+12574619</f>
        <v>12525812</v>
      </c>
      <c r="AE14" s="11">
        <f>578507-148153+49649145</f>
        <v>50079499</v>
      </c>
      <c r="AF14" s="11">
        <v>1008836</v>
      </c>
      <c r="AG14" s="11">
        <v>3648953</v>
      </c>
      <c r="AH14" s="11">
        <f>86703-14836+3512186</f>
        <v>3584053</v>
      </c>
      <c r="AI14" s="11">
        <f>247614+78848+14142810</f>
        <v>14469272</v>
      </c>
      <c r="AJ14" s="11">
        <v>2380084</v>
      </c>
      <c r="AK14" s="11">
        <v>8850891</v>
      </c>
      <c r="AL14" s="11">
        <v>1708787</v>
      </c>
      <c r="AM14" s="11">
        <v>6614553</v>
      </c>
      <c r="AN14" s="11">
        <v>2699970</v>
      </c>
      <c r="AO14" s="11">
        <v>9124022</v>
      </c>
      <c r="AP14" s="156">
        <v>50305423</v>
      </c>
      <c r="AQ14" s="156">
        <v>156620223</v>
      </c>
      <c r="AR14" s="11">
        <f>1464251+64498502+6569239</f>
        <v>72531992</v>
      </c>
      <c r="AS14" s="11">
        <f>4355764+246063550+27444050</f>
        <v>277863364</v>
      </c>
      <c r="AT14" s="11">
        <v>46012308</v>
      </c>
      <c r="AU14" s="11">
        <v>154031662</v>
      </c>
      <c r="AV14" s="11">
        <v>659805</v>
      </c>
      <c r="AW14" s="11">
        <v>1917350</v>
      </c>
      <c r="AX14" s="11">
        <f>10941261-27697+250356</f>
        <v>11163920</v>
      </c>
      <c r="AY14" s="11">
        <f>43773801+72978+665925</f>
        <v>44512704</v>
      </c>
      <c r="AZ14" s="11">
        <v>4439861</v>
      </c>
      <c r="BA14" s="11">
        <v>15548668</v>
      </c>
      <c r="BB14" s="11">
        <f>43775+21773720+88982</f>
        <v>21906477</v>
      </c>
      <c r="BC14" s="11">
        <f>188434+24947146+392972</f>
        <v>25528552</v>
      </c>
      <c r="BD14" s="11">
        <v>6604428</v>
      </c>
      <c r="BE14" s="11">
        <v>29558508</v>
      </c>
      <c r="BF14" s="11">
        <v>5463962</v>
      </c>
      <c r="BG14" s="11">
        <v>20731063</v>
      </c>
      <c r="BH14" s="11">
        <v>12224102</v>
      </c>
      <c r="BI14" s="11">
        <v>45234103</v>
      </c>
      <c r="BJ14" s="11">
        <v>12953157</v>
      </c>
      <c r="BK14" s="11">
        <v>52759828</v>
      </c>
      <c r="BL14" s="11">
        <v>50700860</v>
      </c>
      <c r="BM14" s="11">
        <v>183228135</v>
      </c>
      <c r="BN14" s="11">
        <v>41037</v>
      </c>
      <c r="BO14" s="11">
        <v>388743</v>
      </c>
      <c r="BP14" s="76">
        <f t="shared" si="16"/>
        <v>416242640.28999996</v>
      </c>
      <c r="BQ14" s="76">
        <f t="shared" si="17"/>
        <v>1490835770.95</v>
      </c>
    </row>
    <row r="15" spans="1:69" s="8" customFormat="1" x14ac:dyDescent="0.25">
      <c r="A15" s="3" t="s">
        <v>43</v>
      </c>
      <c r="B15" s="11">
        <f>B9-B14</f>
        <v>-329571</v>
      </c>
      <c r="C15" s="11">
        <f t="shared" ref="C15:K15" si="36">C9-C14</f>
        <v>-1980097</v>
      </c>
      <c r="D15" s="11">
        <f t="shared" si="36"/>
        <v>-617856</v>
      </c>
      <c r="E15" s="11">
        <f t="shared" si="36"/>
        <v>-2482486</v>
      </c>
      <c r="F15" s="11">
        <f t="shared" si="36"/>
        <v>334875</v>
      </c>
      <c r="G15" s="11">
        <f t="shared" si="36"/>
        <v>1239015</v>
      </c>
      <c r="H15" s="11">
        <f t="shared" si="36"/>
        <v>2770297</v>
      </c>
      <c r="I15" s="11">
        <f t="shared" si="36"/>
        <v>-12657</v>
      </c>
      <c r="J15" s="11">
        <f t="shared" si="36"/>
        <v>4687649</v>
      </c>
      <c r="K15" s="11">
        <f t="shared" si="36"/>
        <v>12430905</v>
      </c>
      <c r="L15" s="11">
        <f t="shared" ref="L15:BN15" si="37">L9-L14</f>
        <v>2031338</v>
      </c>
      <c r="M15" s="11">
        <f t="shared" si="37"/>
        <v>1048403</v>
      </c>
      <c r="N15" s="11">
        <f t="shared" si="37"/>
        <v>3025611</v>
      </c>
      <c r="O15" s="11">
        <f t="shared" si="37"/>
        <v>5390195</v>
      </c>
      <c r="P15" s="11">
        <f t="shared" si="37"/>
        <v>-238678</v>
      </c>
      <c r="Q15" s="11">
        <f t="shared" si="37"/>
        <v>-481917</v>
      </c>
      <c r="R15" s="11">
        <f t="shared" si="37"/>
        <v>-371359</v>
      </c>
      <c r="S15" s="11">
        <f t="shared" si="37"/>
        <v>-977181</v>
      </c>
      <c r="T15" s="11">
        <f t="shared" si="37"/>
        <v>-2448468.9500000002</v>
      </c>
      <c r="U15" s="11">
        <f t="shared" si="37"/>
        <v>869107.70000000112</v>
      </c>
      <c r="V15" s="11">
        <f t="shared" si="37"/>
        <v>2072792</v>
      </c>
      <c r="W15" s="11">
        <f t="shared" si="37"/>
        <v>3198208</v>
      </c>
      <c r="X15" s="11">
        <f t="shared" si="37"/>
        <v>-384162</v>
      </c>
      <c r="Y15" s="11">
        <f t="shared" ref="Y15" si="38">Y9-Y14</f>
        <v>-2269470</v>
      </c>
      <c r="Z15" s="11">
        <f t="shared" si="37"/>
        <v>2260903</v>
      </c>
      <c r="AA15" s="11">
        <f t="shared" ref="AA15" si="39">AA9-AA14</f>
        <v>5536123</v>
      </c>
      <c r="AB15" s="11">
        <f t="shared" si="37"/>
        <v>4758127</v>
      </c>
      <c r="AC15" s="11">
        <f t="shared" ref="AC15" si="40">AC9-AC14</f>
        <v>15440852</v>
      </c>
      <c r="AD15" s="11">
        <f t="shared" si="37"/>
        <v>399981</v>
      </c>
      <c r="AE15" s="11">
        <f t="shared" ref="AE15" si="41">AE9-AE14</f>
        <v>1545747</v>
      </c>
      <c r="AF15" s="11">
        <f t="shared" si="37"/>
        <v>-101583</v>
      </c>
      <c r="AG15" s="11">
        <f t="shared" ref="AG15" si="42">AG9-AG14</f>
        <v>-381054</v>
      </c>
      <c r="AH15" s="11">
        <f t="shared" si="37"/>
        <v>1119415</v>
      </c>
      <c r="AI15" s="11">
        <f t="shared" ref="AI15" si="43">AI9-AI14</f>
        <v>-330591</v>
      </c>
      <c r="AJ15" s="11">
        <f t="shared" si="37"/>
        <v>-5093</v>
      </c>
      <c r="AK15" s="11">
        <f t="shared" si="37"/>
        <v>77880</v>
      </c>
      <c r="AL15" s="11">
        <f t="shared" si="37"/>
        <v>1222645</v>
      </c>
      <c r="AM15" s="11">
        <f t="shared" si="37"/>
        <v>236276</v>
      </c>
      <c r="AN15" s="11">
        <f t="shared" si="37"/>
        <v>980705</v>
      </c>
      <c r="AO15" s="11">
        <f t="shared" ref="AO15" si="44">AO9-AO14</f>
        <v>1171579</v>
      </c>
      <c r="AP15" s="11">
        <f t="shared" si="37"/>
        <v>-6662702</v>
      </c>
      <c r="AQ15" s="11">
        <f t="shared" ref="AQ15" si="45">AQ9-AQ14</f>
        <v>-27874132</v>
      </c>
      <c r="AR15" s="11">
        <f t="shared" si="37"/>
        <v>-1407023</v>
      </c>
      <c r="AS15" s="11">
        <f t="shared" ref="AS15" si="46">AS9-AS14</f>
        <v>4129570</v>
      </c>
      <c r="AT15" s="11">
        <f t="shared" si="37"/>
        <v>-7523892</v>
      </c>
      <c r="AU15" s="11">
        <f t="shared" ref="AU15" si="47">AU9-AU14</f>
        <v>-13827519</v>
      </c>
      <c r="AV15" s="11">
        <f t="shared" si="37"/>
        <v>-112224</v>
      </c>
      <c r="AW15" s="11">
        <f t="shared" ref="AW15" si="48">AW9-AW14</f>
        <v>-107929</v>
      </c>
      <c r="AX15" s="11">
        <f t="shared" si="37"/>
        <v>2118702</v>
      </c>
      <c r="AY15" s="11">
        <f t="shared" si="37"/>
        <v>4310602</v>
      </c>
      <c r="AZ15" s="11">
        <f t="shared" si="37"/>
        <v>2346009</v>
      </c>
      <c r="BA15" s="11">
        <f t="shared" ref="BA15" si="49">BA9-BA14</f>
        <v>2562054</v>
      </c>
      <c r="BB15" s="11">
        <f t="shared" si="37"/>
        <v>3741678</v>
      </c>
      <c r="BC15" s="11">
        <f t="shared" si="37"/>
        <v>652396</v>
      </c>
      <c r="BD15" s="11">
        <f t="shared" si="37"/>
        <v>1663422</v>
      </c>
      <c r="BE15" s="11">
        <f t="shared" ref="BE15" si="50">BE9-BE14</f>
        <v>4749275</v>
      </c>
      <c r="BF15" s="11">
        <f t="shared" si="37"/>
        <v>2820416</v>
      </c>
      <c r="BG15" s="11">
        <f t="shared" si="37"/>
        <v>9079952</v>
      </c>
      <c r="BH15" s="11">
        <f t="shared" ref="BH15:BI15" si="51">BH9-BH14</f>
        <v>5646357</v>
      </c>
      <c r="BI15" s="11">
        <f t="shared" si="51"/>
        <v>3302972</v>
      </c>
      <c r="BJ15" s="11">
        <f t="shared" si="37"/>
        <v>163531</v>
      </c>
      <c r="BK15" s="11">
        <f t="shared" ref="BK15:BM15" si="52">BK9-BK14</f>
        <v>3155778</v>
      </c>
      <c r="BL15" s="11">
        <f t="shared" si="52"/>
        <v>-1619557</v>
      </c>
      <c r="BM15" s="11">
        <f t="shared" si="52"/>
        <v>-16029731</v>
      </c>
      <c r="BN15" s="11">
        <f t="shared" si="37"/>
        <v>129279</v>
      </c>
      <c r="BO15" s="11">
        <f t="shared" ref="BO15" si="53">BO9-BO14</f>
        <v>320949</v>
      </c>
      <c r="BP15" s="76">
        <f t="shared" si="16"/>
        <v>22471563.050000001</v>
      </c>
      <c r="BQ15" s="76">
        <f t="shared" si="17"/>
        <v>13693074.700000003</v>
      </c>
    </row>
  </sheetData>
  <mergeCells count="34">
    <mergeCell ref="BF3:BG3"/>
    <mergeCell ref="BP3:BQ3"/>
    <mergeCell ref="BN3:BO3"/>
    <mergeCell ref="BL3:BM3"/>
    <mergeCell ref="BJ3:BK3"/>
    <mergeCell ref="BH3:BI3"/>
    <mergeCell ref="AJ3:AK3"/>
    <mergeCell ref="BD3:BE3"/>
    <mergeCell ref="BB3:BC3"/>
    <mergeCell ref="AZ3:BA3"/>
    <mergeCell ref="AX3:AY3"/>
    <mergeCell ref="AV3:AW3"/>
    <mergeCell ref="AT3:AU3"/>
    <mergeCell ref="AR3:AS3"/>
    <mergeCell ref="AP3:AQ3"/>
    <mergeCell ref="AN3:AO3"/>
    <mergeCell ref="AL3:AM3"/>
    <mergeCell ref="L3:M3"/>
    <mergeCell ref="AH3:AI3"/>
    <mergeCell ref="AF3:AG3"/>
    <mergeCell ref="AD3:AE3"/>
    <mergeCell ref="AB3:AC3"/>
    <mergeCell ref="Z3:AA3"/>
    <mergeCell ref="X3:Y3"/>
    <mergeCell ref="V3:W3"/>
    <mergeCell ref="T3:U3"/>
    <mergeCell ref="R3:S3"/>
    <mergeCell ref="P3:Q3"/>
    <mergeCell ref="N3:O3"/>
    <mergeCell ref="J3:K3"/>
    <mergeCell ref="H3:I3"/>
    <mergeCell ref="F3:G3"/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34" width="16" customWidth="1"/>
    <col min="35" max="35" width="16" style="4" customWidth="1"/>
  </cols>
  <sheetData>
    <row r="1" spans="1:35" ht="18.75" x14ac:dyDescent="0.3">
      <c r="A1" s="13" t="s">
        <v>303</v>
      </c>
    </row>
    <row r="2" spans="1:35" x14ac:dyDescent="0.25">
      <c r="A2" s="12" t="s">
        <v>46</v>
      </c>
    </row>
    <row r="3" spans="1:35" x14ac:dyDescent="0.25">
      <c r="A3" s="1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  <c r="H3" s="89" t="s">
        <v>7</v>
      </c>
      <c r="I3" s="89" t="s">
        <v>8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89" t="s">
        <v>15</v>
      </c>
      <c r="Q3" s="89" t="s">
        <v>16</v>
      </c>
      <c r="R3" s="89" t="s">
        <v>17</v>
      </c>
      <c r="S3" s="89" t="s">
        <v>18</v>
      </c>
      <c r="T3" s="89" t="s">
        <v>293</v>
      </c>
      <c r="U3" s="89" t="s">
        <v>19</v>
      </c>
      <c r="V3" s="89" t="s">
        <v>20</v>
      </c>
      <c r="W3" s="89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  <c r="AI3" s="87" t="s">
        <v>33</v>
      </c>
    </row>
    <row r="4" spans="1:35" x14ac:dyDescent="0.25">
      <c r="A4" s="14" t="s">
        <v>55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57"/>
      <c r="X4" s="157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83"/>
    </row>
    <row r="5" spans="1:35" x14ac:dyDescent="0.25">
      <c r="A5" s="15" t="s">
        <v>56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157"/>
      <c r="X5" s="157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84">
        <f t="shared" ref="AI5:AI12" si="0">SUM(B5:AH5)</f>
        <v>0</v>
      </c>
    </row>
    <row r="6" spans="1:35" x14ac:dyDescent="0.25">
      <c r="A6" s="15" t="s">
        <v>57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157"/>
      <c r="X6" s="157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84">
        <f t="shared" si="0"/>
        <v>0</v>
      </c>
    </row>
    <row r="7" spans="1:35" x14ac:dyDescent="0.25">
      <c r="A7" s="15" t="s">
        <v>58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10"/>
      <c r="U7" s="10"/>
      <c r="V7" s="10">
        <v>233033</v>
      </c>
      <c r="W7" s="155">
        <v>2581596</v>
      </c>
      <c r="X7" s="157"/>
      <c r="Y7" s="36"/>
      <c r="Z7" s="36"/>
      <c r="AA7" s="36"/>
      <c r="AB7" s="36"/>
      <c r="AC7" s="36"/>
      <c r="AD7" s="36"/>
      <c r="AE7" s="36"/>
      <c r="AF7" s="36"/>
      <c r="AG7" s="36">
        <v>1104744</v>
      </c>
      <c r="AH7" s="36"/>
      <c r="AI7" s="84">
        <f t="shared" si="0"/>
        <v>3919373</v>
      </c>
    </row>
    <row r="8" spans="1:35" x14ac:dyDescent="0.25">
      <c r="A8" s="15" t="s">
        <v>59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0"/>
      <c r="U8" s="10"/>
      <c r="V8" s="10"/>
      <c r="W8" s="155"/>
      <c r="X8" s="157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84">
        <f t="shared" si="0"/>
        <v>0</v>
      </c>
    </row>
    <row r="9" spans="1:35" x14ac:dyDescent="0.25">
      <c r="A9" s="15" t="s">
        <v>60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10"/>
      <c r="U9" s="10"/>
      <c r="V9" s="10"/>
      <c r="W9" s="155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84">
        <f t="shared" si="0"/>
        <v>0</v>
      </c>
    </row>
    <row r="10" spans="1:35" x14ac:dyDescent="0.25">
      <c r="A10" s="15" t="s">
        <v>61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10"/>
      <c r="U10" s="10"/>
      <c r="V10" s="10"/>
      <c r="W10" s="155">
        <v>549270</v>
      </c>
      <c r="X10" s="157">
        <v>1383371</v>
      </c>
      <c r="Y10" s="36"/>
      <c r="Z10" s="36"/>
      <c r="AA10" s="36"/>
      <c r="AB10" s="36"/>
      <c r="AC10" s="36"/>
      <c r="AD10" s="36"/>
      <c r="AE10" s="36"/>
      <c r="AF10" s="36"/>
      <c r="AG10" s="36">
        <v>531848</v>
      </c>
      <c r="AH10" s="36"/>
      <c r="AI10" s="84">
        <f t="shared" si="0"/>
        <v>2464489</v>
      </c>
    </row>
    <row r="11" spans="1:35" x14ac:dyDescent="0.25">
      <c r="A11" s="15" t="s">
        <v>62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>
        <v>44987</v>
      </c>
      <c r="T11" s="10"/>
      <c r="U11" s="10"/>
      <c r="V11" s="10">
        <v>135560</v>
      </c>
      <c r="W11" s="155"/>
      <c r="X11" s="157">
        <v>64299</v>
      </c>
      <c r="Y11" s="36"/>
      <c r="Z11" s="36"/>
      <c r="AA11" s="36"/>
      <c r="AB11" s="36"/>
      <c r="AC11" s="36"/>
      <c r="AD11" s="36"/>
      <c r="AE11" s="36"/>
      <c r="AF11" s="36"/>
      <c r="AG11" s="36">
        <v>120886</v>
      </c>
      <c r="AH11" s="36"/>
      <c r="AI11" s="84">
        <f t="shared" si="0"/>
        <v>365732</v>
      </c>
    </row>
    <row r="12" spans="1:35" s="4" customFormat="1" x14ac:dyDescent="0.25">
      <c r="A12" s="16" t="s">
        <v>54</v>
      </c>
      <c r="B12" s="37">
        <f>SUM(B5:B11)</f>
        <v>0</v>
      </c>
      <c r="C12" s="37">
        <f t="shared" ref="C12:AH12" si="1">SUM(C5:C11)</f>
        <v>0</v>
      </c>
      <c r="D12" s="37">
        <f t="shared" si="1"/>
        <v>0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</v>
      </c>
      <c r="S12" s="37">
        <f t="shared" si="1"/>
        <v>44987</v>
      </c>
      <c r="T12" s="37">
        <f t="shared" si="1"/>
        <v>0</v>
      </c>
      <c r="U12" s="37">
        <f t="shared" si="1"/>
        <v>0</v>
      </c>
      <c r="V12" s="37">
        <f t="shared" si="1"/>
        <v>368593</v>
      </c>
      <c r="W12" s="158">
        <v>3130866</v>
      </c>
      <c r="X12" s="158">
        <v>1447670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</v>
      </c>
      <c r="AC12" s="37">
        <f t="shared" si="1"/>
        <v>0</v>
      </c>
      <c r="AD12" s="37">
        <f t="shared" si="1"/>
        <v>0</v>
      </c>
      <c r="AE12" s="37">
        <f t="shared" si="1"/>
        <v>0</v>
      </c>
      <c r="AF12" s="37">
        <f t="shared" si="1"/>
        <v>0</v>
      </c>
      <c r="AG12" s="37">
        <f t="shared" si="1"/>
        <v>1757478</v>
      </c>
      <c r="AH12" s="37">
        <f t="shared" si="1"/>
        <v>0</v>
      </c>
      <c r="AI12" s="83">
        <f t="shared" si="0"/>
        <v>6749594</v>
      </c>
    </row>
    <row r="13" spans="1:35" x14ac:dyDescent="0.25">
      <c r="A13" s="14" t="s">
        <v>63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157"/>
      <c r="X13" s="157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83"/>
    </row>
    <row r="14" spans="1:35" x14ac:dyDescent="0.25">
      <c r="A14" s="15" t="s">
        <v>64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0"/>
      <c r="U14" s="10"/>
      <c r="V14" s="10">
        <v>71330</v>
      </c>
      <c r="W14" s="155">
        <v>286328</v>
      </c>
      <c r="X14" s="157">
        <v>184988</v>
      </c>
      <c r="Y14" s="36"/>
      <c r="Z14" s="36"/>
      <c r="AA14" s="36"/>
      <c r="AB14" s="36"/>
      <c r="AC14" s="36"/>
      <c r="AD14" s="36"/>
      <c r="AE14" s="36"/>
      <c r="AF14" s="36"/>
      <c r="AG14" s="36">
        <v>531849</v>
      </c>
      <c r="AH14" s="36"/>
      <c r="AI14" s="84">
        <f t="shared" ref="AI14:AI19" si="2">SUM(B14:AH14)</f>
        <v>1074495</v>
      </c>
    </row>
    <row r="15" spans="1:35" x14ac:dyDescent="0.25">
      <c r="A15" s="15" t="s">
        <v>65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10"/>
      <c r="U15" s="10"/>
      <c r="V15" s="10"/>
      <c r="W15" s="155"/>
      <c r="X15" s="157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84">
        <f t="shared" si="2"/>
        <v>0</v>
      </c>
    </row>
    <row r="16" spans="1:35" x14ac:dyDescent="0.25">
      <c r="A16" s="15" t="s">
        <v>66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0"/>
      <c r="U16" s="10"/>
      <c r="V16" s="10"/>
      <c r="W16" s="155"/>
      <c r="X16" s="157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84">
        <f t="shared" si="2"/>
        <v>0</v>
      </c>
    </row>
    <row r="17" spans="1:35" x14ac:dyDescent="0.25">
      <c r="A17" s="15" t="s">
        <v>67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"/>
      <c r="U17" s="10"/>
      <c r="V17" s="10">
        <v>296624</v>
      </c>
      <c r="W17" s="155"/>
      <c r="X17" s="157">
        <v>147996</v>
      </c>
      <c r="Y17" s="36"/>
      <c r="Z17" s="36"/>
      <c r="AA17" s="36"/>
      <c r="AB17" s="36"/>
      <c r="AC17" s="36"/>
      <c r="AD17" s="36"/>
      <c r="AE17" s="36"/>
      <c r="AF17" s="36"/>
      <c r="AG17" s="36">
        <v>171430</v>
      </c>
      <c r="AH17" s="36"/>
      <c r="AI17" s="84">
        <f t="shared" si="2"/>
        <v>616050</v>
      </c>
    </row>
    <row r="18" spans="1:35" x14ac:dyDescent="0.25">
      <c r="A18" s="15" t="s">
        <v>68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>
        <v>44987</v>
      </c>
      <c r="T18" s="10"/>
      <c r="U18" s="10"/>
      <c r="V18" s="10">
        <v>639</v>
      </c>
      <c r="W18" s="155">
        <v>2844538</v>
      </c>
      <c r="X18" s="157">
        <v>1114686</v>
      </c>
      <c r="Y18" s="36"/>
      <c r="Z18" s="36"/>
      <c r="AA18" s="36"/>
      <c r="AB18" s="36"/>
      <c r="AC18" s="36"/>
      <c r="AD18" s="36"/>
      <c r="AE18" s="36"/>
      <c r="AF18" s="36"/>
      <c r="AG18" s="36">
        <v>1054199</v>
      </c>
      <c r="AH18" s="36"/>
      <c r="AI18" s="84">
        <f t="shared" si="2"/>
        <v>5059049</v>
      </c>
    </row>
    <row r="19" spans="1:35" s="4" customFormat="1" x14ac:dyDescent="0.25">
      <c r="A19" s="16" t="s">
        <v>54</v>
      </c>
      <c r="B19" s="37">
        <f>SUM(B14:B18)</f>
        <v>0</v>
      </c>
      <c r="C19" s="37">
        <f t="shared" ref="C19:AH19" si="3">SUM(C14:C18)</f>
        <v>0</v>
      </c>
      <c r="D19" s="37">
        <f t="shared" si="3"/>
        <v>0</v>
      </c>
      <c r="E19" s="37">
        <f t="shared" si="3"/>
        <v>0</v>
      </c>
      <c r="F19" s="37">
        <f t="shared" si="3"/>
        <v>0</v>
      </c>
      <c r="G19" s="37">
        <f t="shared" si="3"/>
        <v>0</v>
      </c>
      <c r="H19" s="37">
        <f t="shared" si="3"/>
        <v>0</v>
      </c>
      <c r="I19" s="37">
        <f t="shared" si="3"/>
        <v>0</v>
      </c>
      <c r="J19" s="37">
        <f t="shared" si="3"/>
        <v>0</v>
      </c>
      <c r="K19" s="37">
        <f t="shared" si="3"/>
        <v>0</v>
      </c>
      <c r="L19" s="37">
        <f t="shared" si="3"/>
        <v>0</v>
      </c>
      <c r="M19" s="37">
        <f t="shared" si="3"/>
        <v>0</v>
      </c>
      <c r="N19" s="37">
        <f t="shared" si="3"/>
        <v>0</v>
      </c>
      <c r="O19" s="37">
        <f t="shared" si="3"/>
        <v>0</v>
      </c>
      <c r="P19" s="37">
        <f t="shared" si="3"/>
        <v>0</v>
      </c>
      <c r="Q19" s="37">
        <f t="shared" si="3"/>
        <v>0</v>
      </c>
      <c r="R19" s="37">
        <f t="shared" si="3"/>
        <v>0</v>
      </c>
      <c r="S19" s="37">
        <f t="shared" si="3"/>
        <v>44987</v>
      </c>
      <c r="T19" s="37">
        <f t="shared" si="3"/>
        <v>0</v>
      </c>
      <c r="U19" s="37">
        <f t="shared" si="3"/>
        <v>0</v>
      </c>
      <c r="V19" s="37">
        <f t="shared" si="3"/>
        <v>368593</v>
      </c>
      <c r="W19" s="158">
        <v>3130866</v>
      </c>
      <c r="X19" s="158">
        <v>1447670</v>
      </c>
      <c r="Y19" s="37">
        <f t="shared" si="3"/>
        <v>0</v>
      </c>
      <c r="Z19" s="37">
        <f t="shared" si="3"/>
        <v>0</v>
      </c>
      <c r="AA19" s="37">
        <f t="shared" si="3"/>
        <v>0</v>
      </c>
      <c r="AB19" s="37">
        <f t="shared" si="3"/>
        <v>0</v>
      </c>
      <c r="AC19" s="37">
        <f t="shared" si="3"/>
        <v>0</v>
      </c>
      <c r="AD19" s="37">
        <f t="shared" si="3"/>
        <v>0</v>
      </c>
      <c r="AE19" s="37">
        <f t="shared" si="3"/>
        <v>0</v>
      </c>
      <c r="AF19" s="37">
        <f t="shared" si="3"/>
        <v>0</v>
      </c>
      <c r="AG19" s="37">
        <f t="shared" si="3"/>
        <v>1757478</v>
      </c>
      <c r="AH19" s="37">
        <f t="shared" si="3"/>
        <v>0</v>
      </c>
      <c r="AI19" s="83">
        <f t="shared" si="2"/>
        <v>6749594</v>
      </c>
    </row>
    <row r="20" spans="1:35" x14ac:dyDescent="0.25">
      <c r="A20" s="14" t="s">
        <v>69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157"/>
      <c r="X20" s="157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83"/>
    </row>
    <row r="21" spans="1:35" x14ac:dyDescent="0.25">
      <c r="A21" s="15" t="s">
        <v>70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157"/>
      <c r="X21" s="157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84">
        <f t="shared" ref="AI21:AI28" si="4">SUM(B21:AH21)</f>
        <v>0</v>
      </c>
    </row>
    <row r="22" spans="1:35" x14ac:dyDescent="0.25">
      <c r="A22" s="15" t="s">
        <v>58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>
        <v>44987</v>
      </c>
      <c r="T22" s="10"/>
      <c r="U22" s="10"/>
      <c r="V22" s="10">
        <v>78290</v>
      </c>
      <c r="W22" s="155">
        <v>3130866</v>
      </c>
      <c r="X22" s="157">
        <v>1305110</v>
      </c>
      <c r="Y22" s="36"/>
      <c r="Z22" s="36"/>
      <c r="AA22" s="36"/>
      <c r="AB22" s="36"/>
      <c r="AC22" s="36"/>
      <c r="AD22" s="36"/>
      <c r="AE22" s="36"/>
      <c r="AF22" s="36"/>
      <c r="AG22" s="36">
        <v>1583893</v>
      </c>
      <c r="AH22" s="36"/>
      <c r="AI22" s="84">
        <f t="shared" si="4"/>
        <v>6143146</v>
      </c>
    </row>
    <row r="23" spans="1:35" x14ac:dyDescent="0.25">
      <c r="A23" s="15" t="s">
        <v>59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157"/>
      <c r="X23" s="157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84">
        <f t="shared" si="4"/>
        <v>0</v>
      </c>
    </row>
    <row r="24" spans="1:35" x14ac:dyDescent="0.25">
      <c r="A24" s="15" t="s">
        <v>71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157"/>
      <c r="X24" s="157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84">
        <f t="shared" si="4"/>
        <v>0</v>
      </c>
    </row>
    <row r="25" spans="1:35" x14ac:dyDescent="0.25">
      <c r="A25" s="15" t="s">
        <v>58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>
        <v>290303</v>
      </c>
      <c r="W25" s="157"/>
      <c r="X25" s="157"/>
      <c r="Y25" s="36"/>
      <c r="Z25" s="36"/>
      <c r="AA25" s="36"/>
      <c r="AB25" s="36"/>
      <c r="AC25" s="36"/>
      <c r="AD25" s="36"/>
      <c r="AE25" s="36"/>
      <c r="AF25" s="36"/>
      <c r="AG25" s="36">
        <v>173585</v>
      </c>
      <c r="AH25" s="36"/>
      <c r="AI25" s="84">
        <f t="shared" si="4"/>
        <v>463888</v>
      </c>
    </row>
    <row r="26" spans="1:35" x14ac:dyDescent="0.25">
      <c r="A26" s="15" t="s">
        <v>59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157"/>
      <c r="X26" s="157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84">
        <f t="shared" si="4"/>
        <v>0</v>
      </c>
    </row>
    <row r="27" spans="1:35" x14ac:dyDescent="0.25">
      <c r="A27" s="15" t="s">
        <v>72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157"/>
      <c r="X27" s="157">
        <v>142560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84">
        <f t="shared" si="4"/>
        <v>142560</v>
      </c>
    </row>
    <row r="28" spans="1:35" s="4" customFormat="1" x14ac:dyDescent="0.25">
      <c r="A28" s="16" t="s">
        <v>54</v>
      </c>
      <c r="B28" s="37">
        <f>SUM(B21:B27)</f>
        <v>0</v>
      </c>
      <c r="C28" s="37">
        <f t="shared" ref="C28:AH28" si="5">SUM(C21:C27)</f>
        <v>0</v>
      </c>
      <c r="D28" s="37">
        <f t="shared" si="5"/>
        <v>0</v>
      </c>
      <c r="E28" s="37">
        <f t="shared" si="5"/>
        <v>0</v>
      </c>
      <c r="F28" s="37">
        <f t="shared" si="5"/>
        <v>0</v>
      </c>
      <c r="G28" s="37">
        <f t="shared" si="5"/>
        <v>0</v>
      </c>
      <c r="H28" s="37">
        <f t="shared" si="5"/>
        <v>0</v>
      </c>
      <c r="I28" s="37">
        <f t="shared" si="5"/>
        <v>0</v>
      </c>
      <c r="J28" s="37">
        <f t="shared" si="5"/>
        <v>0</v>
      </c>
      <c r="K28" s="37">
        <f t="shared" si="5"/>
        <v>0</v>
      </c>
      <c r="L28" s="37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7">
        <f t="shared" si="5"/>
        <v>0</v>
      </c>
      <c r="R28" s="37">
        <f t="shared" si="5"/>
        <v>0</v>
      </c>
      <c r="S28" s="37">
        <f t="shared" si="5"/>
        <v>44987</v>
      </c>
      <c r="T28" s="37">
        <f t="shared" si="5"/>
        <v>0</v>
      </c>
      <c r="U28" s="37">
        <f t="shared" si="5"/>
        <v>0</v>
      </c>
      <c r="V28" s="37">
        <f t="shared" si="5"/>
        <v>368593</v>
      </c>
      <c r="W28" s="158">
        <v>3130866</v>
      </c>
      <c r="X28" s="158">
        <v>1447670</v>
      </c>
      <c r="Y28" s="37">
        <f t="shared" si="5"/>
        <v>0</v>
      </c>
      <c r="Z28" s="37">
        <f t="shared" si="5"/>
        <v>0</v>
      </c>
      <c r="AA28" s="37">
        <f t="shared" si="5"/>
        <v>0</v>
      </c>
      <c r="AB28" s="37">
        <f t="shared" si="5"/>
        <v>0</v>
      </c>
      <c r="AC28" s="37">
        <f t="shared" si="5"/>
        <v>0</v>
      </c>
      <c r="AD28" s="37">
        <f t="shared" si="5"/>
        <v>0</v>
      </c>
      <c r="AE28" s="37">
        <f t="shared" si="5"/>
        <v>0</v>
      </c>
      <c r="AF28" s="37">
        <f t="shared" si="5"/>
        <v>0</v>
      </c>
      <c r="AG28" s="37">
        <f t="shared" si="5"/>
        <v>1757478</v>
      </c>
      <c r="AH28" s="37">
        <f t="shared" si="5"/>
        <v>0</v>
      </c>
      <c r="AI28" s="83">
        <f t="shared" si="4"/>
        <v>6749594</v>
      </c>
    </row>
    <row r="29" spans="1:35" x14ac:dyDescent="0.25">
      <c r="A29" s="14" t="s">
        <v>73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157"/>
      <c r="X29" s="157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83"/>
    </row>
    <row r="30" spans="1:35" x14ac:dyDescent="0.25">
      <c r="A30" s="15" t="s">
        <v>74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>
        <v>44987</v>
      </c>
      <c r="T30" s="10"/>
      <c r="U30" s="10"/>
      <c r="V30" s="10">
        <v>1072</v>
      </c>
      <c r="W30" s="155">
        <v>62748</v>
      </c>
      <c r="X30" s="157">
        <v>45520</v>
      </c>
      <c r="Y30" s="36"/>
      <c r="Z30" s="36"/>
      <c r="AA30" s="36"/>
      <c r="AB30" s="36"/>
      <c r="AC30" s="36"/>
      <c r="AD30" s="36"/>
      <c r="AE30" s="36"/>
      <c r="AF30" s="36"/>
      <c r="AG30" s="36">
        <v>149996</v>
      </c>
      <c r="AH30" s="36"/>
      <c r="AI30" s="84">
        <f>SUM(B30:AH30)</f>
        <v>304323</v>
      </c>
    </row>
    <row r="31" spans="1:35" x14ac:dyDescent="0.25">
      <c r="A31" s="15" t="s">
        <v>75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0"/>
      <c r="U31" s="10"/>
      <c r="V31" s="10">
        <v>367521</v>
      </c>
      <c r="W31" s="155">
        <v>3068118</v>
      </c>
      <c r="X31" s="157">
        <v>1402150</v>
      </c>
      <c r="Y31" s="36"/>
      <c r="Z31" s="36"/>
      <c r="AA31" s="36"/>
      <c r="AB31" s="36"/>
      <c r="AC31" s="36"/>
      <c r="AD31" s="36"/>
      <c r="AE31" s="36"/>
      <c r="AF31" s="36"/>
      <c r="AG31" s="36">
        <v>1607482</v>
      </c>
      <c r="AH31" s="36"/>
      <c r="AI31" s="84">
        <f>SUM(B31:AH31)</f>
        <v>6445271</v>
      </c>
    </row>
    <row r="32" spans="1:35" s="4" customFormat="1" x14ac:dyDescent="0.25">
      <c r="A32" s="16" t="s">
        <v>54</v>
      </c>
      <c r="B32" s="37">
        <f>SUM(B30:B31)</f>
        <v>0</v>
      </c>
      <c r="C32" s="37">
        <f t="shared" ref="C32:AH32" si="6">SUM(C30:C31)</f>
        <v>0</v>
      </c>
      <c r="D32" s="37">
        <f t="shared" si="6"/>
        <v>0</v>
      </c>
      <c r="E32" s="37">
        <f t="shared" si="6"/>
        <v>0</v>
      </c>
      <c r="F32" s="37">
        <f t="shared" si="6"/>
        <v>0</v>
      </c>
      <c r="G32" s="37">
        <f t="shared" si="6"/>
        <v>0</v>
      </c>
      <c r="H32" s="37">
        <f t="shared" si="6"/>
        <v>0</v>
      </c>
      <c r="I32" s="37">
        <f t="shared" si="6"/>
        <v>0</v>
      </c>
      <c r="J32" s="37">
        <f t="shared" si="6"/>
        <v>0</v>
      </c>
      <c r="K32" s="37">
        <f t="shared" si="6"/>
        <v>0</v>
      </c>
      <c r="L32" s="37">
        <f t="shared" si="6"/>
        <v>0</v>
      </c>
      <c r="M32" s="37">
        <f t="shared" si="6"/>
        <v>0</v>
      </c>
      <c r="N32" s="37">
        <f t="shared" si="6"/>
        <v>0</v>
      </c>
      <c r="O32" s="37">
        <f t="shared" si="6"/>
        <v>0</v>
      </c>
      <c r="P32" s="37">
        <f t="shared" si="6"/>
        <v>0</v>
      </c>
      <c r="Q32" s="37">
        <f t="shared" si="6"/>
        <v>0</v>
      </c>
      <c r="R32" s="37">
        <f t="shared" si="6"/>
        <v>0</v>
      </c>
      <c r="S32" s="37">
        <f t="shared" si="6"/>
        <v>44987</v>
      </c>
      <c r="T32" s="37">
        <f t="shared" si="6"/>
        <v>0</v>
      </c>
      <c r="U32" s="37">
        <f t="shared" si="6"/>
        <v>0</v>
      </c>
      <c r="V32" s="37">
        <f t="shared" si="6"/>
        <v>368593</v>
      </c>
      <c r="W32" s="158">
        <v>3130866</v>
      </c>
      <c r="X32" s="158">
        <v>1447670</v>
      </c>
      <c r="Y32" s="37">
        <f t="shared" si="6"/>
        <v>0</v>
      </c>
      <c r="Z32" s="37">
        <f t="shared" si="6"/>
        <v>0</v>
      </c>
      <c r="AA32" s="37">
        <f t="shared" si="6"/>
        <v>0</v>
      </c>
      <c r="AB32" s="37">
        <f t="shared" si="6"/>
        <v>0</v>
      </c>
      <c r="AC32" s="37">
        <f t="shared" si="6"/>
        <v>0</v>
      </c>
      <c r="AD32" s="37">
        <f t="shared" si="6"/>
        <v>0</v>
      </c>
      <c r="AE32" s="37">
        <f t="shared" si="6"/>
        <v>0</v>
      </c>
      <c r="AF32" s="37">
        <f t="shared" si="6"/>
        <v>0</v>
      </c>
      <c r="AG32" s="37">
        <f t="shared" si="6"/>
        <v>1757478</v>
      </c>
      <c r="AH32" s="37">
        <f t="shared" si="6"/>
        <v>0</v>
      </c>
      <c r="AI32" s="83">
        <f>SUM(B32:AH32)</f>
        <v>6749594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17" t="s">
        <v>304</v>
      </c>
    </row>
    <row r="2" spans="1:35" x14ac:dyDescent="0.25">
      <c r="A2" s="6" t="s">
        <v>46</v>
      </c>
    </row>
    <row r="3" spans="1:35" x14ac:dyDescent="0.25">
      <c r="A3" s="1" t="s">
        <v>0</v>
      </c>
      <c r="B3" s="89" t="s">
        <v>1</v>
      </c>
      <c r="C3" s="89" t="s">
        <v>2</v>
      </c>
      <c r="D3" s="89" t="s">
        <v>3</v>
      </c>
      <c r="E3" s="89" t="s">
        <v>295</v>
      </c>
      <c r="F3" s="89" t="s">
        <v>5</v>
      </c>
      <c r="G3" s="89" t="s">
        <v>6</v>
      </c>
      <c r="H3" s="89" t="s">
        <v>7</v>
      </c>
      <c r="I3" s="89" t="s">
        <v>309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89" t="s">
        <v>15</v>
      </c>
      <c r="Q3" s="89" t="s">
        <v>16</v>
      </c>
      <c r="R3" s="89" t="s">
        <v>17</v>
      </c>
      <c r="S3" s="89" t="s">
        <v>18</v>
      </c>
      <c r="T3" s="89" t="s">
        <v>293</v>
      </c>
      <c r="U3" s="89" t="s">
        <v>19</v>
      </c>
      <c r="V3" s="89" t="s">
        <v>20</v>
      </c>
      <c r="W3" s="89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  <c r="AI3" s="87" t="s">
        <v>33</v>
      </c>
    </row>
    <row r="4" spans="1:35" x14ac:dyDescent="0.25">
      <c r="A4" s="2" t="s">
        <v>76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76">
        <f t="shared" ref="AI4:AI19" si="0">SUM(B4:AH4)</f>
        <v>0</v>
      </c>
    </row>
    <row r="5" spans="1:35" x14ac:dyDescent="0.25">
      <c r="A5" s="2" t="s">
        <v>77</v>
      </c>
      <c r="B5" s="10">
        <v>56473</v>
      </c>
      <c r="C5" s="10">
        <v>431364</v>
      </c>
      <c r="D5" s="10">
        <v>808548</v>
      </c>
      <c r="E5" s="10">
        <f>177549+1801</f>
        <v>179350</v>
      </c>
      <c r="F5" s="10">
        <v>425762</v>
      </c>
      <c r="G5" s="10">
        <v>35604</v>
      </c>
      <c r="H5" s="10">
        <v>169267</v>
      </c>
      <c r="I5" s="10">
        <v>351340</v>
      </c>
      <c r="J5" s="7">
        <v>83075</v>
      </c>
      <c r="K5" s="10">
        <v>12605.91</v>
      </c>
      <c r="L5" s="10">
        <v>33832</v>
      </c>
      <c r="M5" s="10">
        <v>20468</v>
      </c>
      <c r="N5" s="10">
        <v>339333</v>
      </c>
      <c r="O5" s="10">
        <v>2588688</v>
      </c>
      <c r="P5" s="10">
        <v>163678</v>
      </c>
      <c r="Q5" s="10">
        <v>32035</v>
      </c>
      <c r="R5" s="10">
        <v>138280</v>
      </c>
      <c r="S5" s="10">
        <v>191141</v>
      </c>
      <c r="T5" s="10">
        <v>30533</v>
      </c>
      <c r="U5" s="10">
        <v>261257</v>
      </c>
      <c r="V5" s="10">
        <v>32646</v>
      </c>
      <c r="W5" s="10">
        <v>412203</v>
      </c>
      <c r="X5" s="10">
        <v>128229</v>
      </c>
      <c r="Y5" s="10">
        <v>7253</v>
      </c>
      <c r="Z5" s="10">
        <v>121104</v>
      </c>
      <c r="AA5" s="10">
        <v>316493</v>
      </c>
      <c r="AB5" s="10">
        <v>122333</v>
      </c>
      <c r="AC5" s="10">
        <v>506007</v>
      </c>
      <c r="AD5">
        <v>19891</v>
      </c>
      <c r="AE5" s="10">
        <v>371250</v>
      </c>
      <c r="AF5" s="10">
        <v>682972</v>
      </c>
      <c r="AG5" s="10">
        <v>20332</v>
      </c>
      <c r="AH5" s="10">
        <v>37804</v>
      </c>
      <c r="AI5" s="77">
        <f t="shared" si="0"/>
        <v>9131150.9100000001</v>
      </c>
    </row>
    <row r="6" spans="1:35" x14ac:dyDescent="0.25">
      <c r="A6" s="2" t="s">
        <v>78</v>
      </c>
      <c r="B6" s="10"/>
      <c r="C6" s="10"/>
      <c r="D6" s="10"/>
      <c r="E6" s="10"/>
      <c r="F6" s="10">
        <v>846212</v>
      </c>
      <c r="G6" s="10"/>
      <c r="H6" s="10"/>
      <c r="I6" s="10"/>
      <c r="J6" s="10"/>
      <c r="K6" s="10">
        <v>748152.33</v>
      </c>
      <c r="L6" s="10"/>
      <c r="M6" s="10"/>
      <c r="N6" s="10"/>
      <c r="O6" s="10">
        <v>2411770</v>
      </c>
      <c r="P6" s="10">
        <v>37849</v>
      </c>
      <c r="Q6" s="10"/>
      <c r="R6" s="10"/>
      <c r="S6" s="10"/>
      <c r="T6" s="10"/>
      <c r="U6" s="10"/>
      <c r="V6" s="10">
        <v>6452</v>
      </c>
      <c r="W6" s="10">
        <v>136859</v>
      </c>
      <c r="X6" s="10">
        <v>59546</v>
      </c>
      <c r="Y6" s="10"/>
      <c r="Z6" s="10"/>
      <c r="AA6" s="10"/>
      <c r="AB6" s="10"/>
      <c r="AC6" s="10"/>
      <c r="AD6" s="10"/>
      <c r="AE6" s="10">
        <v>11600</v>
      </c>
      <c r="AF6" s="10"/>
      <c r="AG6" s="10">
        <v>131793</v>
      </c>
      <c r="AH6" s="10"/>
      <c r="AI6" s="77">
        <f t="shared" si="0"/>
        <v>4390233.33</v>
      </c>
    </row>
    <row r="7" spans="1:35" x14ac:dyDescent="0.25">
      <c r="A7" s="2" t="s">
        <v>79</v>
      </c>
      <c r="B7" s="10"/>
      <c r="C7" s="10"/>
      <c r="D7" s="10"/>
      <c r="E7" s="10"/>
      <c r="F7" s="10"/>
      <c r="G7" s="10"/>
      <c r="H7" s="10"/>
      <c r="I7" s="10"/>
      <c r="J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v>292532</v>
      </c>
      <c r="W7" s="10"/>
      <c r="X7" s="10"/>
      <c r="Y7" s="10"/>
      <c r="Z7" s="10"/>
      <c r="AA7" s="10"/>
      <c r="AB7" s="10"/>
      <c r="AC7" s="10"/>
      <c r="AD7" s="36">
        <v>211519</v>
      </c>
      <c r="AE7" s="10"/>
      <c r="AF7" s="10"/>
      <c r="AG7" s="10">
        <v>23636</v>
      </c>
      <c r="AH7" s="10"/>
      <c r="AI7" s="77">
        <f t="shared" si="0"/>
        <v>527687</v>
      </c>
    </row>
    <row r="8" spans="1:35" x14ac:dyDescent="0.25">
      <c r="A8" s="2" t="s">
        <v>80</v>
      </c>
      <c r="B8" s="10">
        <v>65</v>
      </c>
      <c r="C8" s="10">
        <v>53279</v>
      </c>
      <c r="D8" s="10">
        <v>937224</v>
      </c>
      <c r="E8" s="10"/>
      <c r="F8" s="10">
        <v>45887</v>
      </c>
      <c r="G8" s="10">
        <v>18403</v>
      </c>
      <c r="H8" s="10"/>
      <c r="I8" s="10">
        <v>30623</v>
      </c>
      <c r="J8" s="10">
        <v>1181</v>
      </c>
      <c r="K8" s="10">
        <v>53659.23</v>
      </c>
      <c r="L8" s="10">
        <v>31616</v>
      </c>
      <c r="M8" s="10">
        <v>39741</v>
      </c>
      <c r="N8" s="10">
        <v>44946</v>
      </c>
      <c r="O8" s="10"/>
      <c r="P8" s="10"/>
      <c r="Q8" s="10">
        <v>775</v>
      </c>
      <c r="R8" s="10"/>
      <c r="S8" s="10">
        <v>17441</v>
      </c>
      <c r="T8" s="10">
        <v>9976</v>
      </c>
      <c r="U8" s="10">
        <v>18954</v>
      </c>
      <c r="V8" s="10"/>
      <c r="W8" s="10">
        <v>287714</v>
      </c>
      <c r="X8" s="10">
        <v>308049</v>
      </c>
      <c r="Y8" s="10">
        <v>10494</v>
      </c>
      <c r="Z8" s="10">
        <v>21539</v>
      </c>
      <c r="AA8" s="10">
        <v>13031</v>
      </c>
      <c r="AB8" s="10">
        <v>62032</v>
      </c>
      <c r="AC8" s="10">
        <v>141526</v>
      </c>
      <c r="AD8" s="36">
        <v>12709</v>
      </c>
      <c r="AE8" s="10"/>
      <c r="AF8" s="10">
        <v>67297</v>
      </c>
      <c r="AG8" s="10">
        <v>190045</v>
      </c>
      <c r="AH8" s="10">
        <v>498</v>
      </c>
      <c r="AI8" s="77">
        <f t="shared" si="0"/>
        <v>2418704.23</v>
      </c>
    </row>
    <row r="9" spans="1:35" x14ac:dyDescent="0.25">
      <c r="A9" s="2" t="s">
        <v>81</v>
      </c>
      <c r="B9" s="10"/>
      <c r="C9" s="10"/>
      <c r="D9" s="10">
        <v>282396</v>
      </c>
      <c r="E9" s="10"/>
      <c r="F9" s="10">
        <v>2259355</v>
      </c>
      <c r="G9" s="10"/>
      <c r="H9" s="10">
        <v>315518</v>
      </c>
      <c r="I9" s="10"/>
      <c r="J9" s="10"/>
      <c r="K9" s="10">
        <v>284290.59000000003</v>
      </c>
      <c r="L9" s="10"/>
      <c r="M9" s="10"/>
      <c r="N9" s="10">
        <v>1132456</v>
      </c>
      <c r="O9" s="10">
        <v>393408</v>
      </c>
      <c r="P9" s="10">
        <v>10238</v>
      </c>
      <c r="Q9" s="10"/>
      <c r="R9" s="10"/>
      <c r="S9" s="10"/>
      <c r="T9" s="10"/>
      <c r="U9" s="10"/>
      <c r="V9" s="10">
        <v>790135</v>
      </c>
      <c r="W9" s="10">
        <v>1235682</v>
      </c>
      <c r="X9" s="10">
        <v>562881</v>
      </c>
      <c r="Y9" s="10"/>
      <c r="Z9" s="10"/>
      <c r="AA9" s="10"/>
      <c r="AB9" s="10"/>
      <c r="AC9" s="10"/>
      <c r="AD9" s="36">
        <v>145986</v>
      </c>
      <c r="AE9" s="10">
        <v>64109</v>
      </c>
      <c r="AF9" s="10">
        <v>773522</v>
      </c>
      <c r="AG9" s="10">
        <v>360846</v>
      </c>
      <c r="AH9" s="10"/>
      <c r="AI9" s="77">
        <f t="shared" si="0"/>
        <v>8610822.5899999999</v>
      </c>
    </row>
    <row r="10" spans="1:35" x14ac:dyDescent="0.25">
      <c r="A10" s="2" t="s">
        <v>82</v>
      </c>
      <c r="B10" s="10">
        <v>729</v>
      </c>
      <c r="C10" s="10">
        <v>5482</v>
      </c>
      <c r="D10" s="10">
        <v>61159</v>
      </c>
      <c r="E10" s="10">
        <v>18232</v>
      </c>
      <c r="F10" s="10">
        <v>133466</v>
      </c>
      <c r="G10" s="10">
        <v>10052</v>
      </c>
      <c r="H10" s="10">
        <v>5665</v>
      </c>
      <c r="I10" s="10">
        <v>7378</v>
      </c>
      <c r="J10" s="10">
        <v>2547</v>
      </c>
      <c r="K10" s="10">
        <v>32422.11</v>
      </c>
      <c r="L10" s="10">
        <v>9539</v>
      </c>
      <c r="M10" s="10">
        <v>10383</v>
      </c>
      <c r="N10" s="10">
        <v>170699</v>
      </c>
      <c r="O10" s="10">
        <v>478641</v>
      </c>
      <c r="P10" s="10">
        <v>186502</v>
      </c>
      <c r="Q10" s="10">
        <v>63</v>
      </c>
      <c r="R10" s="10">
        <v>1017</v>
      </c>
      <c r="S10" s="10">
        <v>779</v>
      </c>
      <c r="T10" s="10">
        <v>4141</v>
      </c>
      <c r="U10" s="10">
        <v>7000</v>
      </c>
      <c r="V10" s="10">
        <v>95197.479207045864</v>
      </c>
      <c r="W10" s="10">
        <v>315957</v>
      </c>
      <c r="X10" s="10">
        <v>92673</v>
      </c>
      <c r="Y10" s="10">
        <v>4337</v>
      </c>
      <c r="Z10" s="10">
        <v>21102</v>
      </c>
      <c r="AA10" s="10">
        <v>454</v>
      </c>
      <c r="AB10" s="10">
        <v>10904</v>
      </c>
      <c r="AC10" s="10">
        <v>18933</v>
      </c>
      <c r="AD10" s="36">
        <v>41817</v>
      </c>
      <c r="AE10" s="10">
        <v>143606</v>
      </c>
      <c r="AF10" s="10">
        <v>15198</v>
      </c>
      <c r="AG10" s="10">
        <v>64691</v>
      </c>
      <c r="AH10" s="10">
        <v>16364</v>
      </c>
      <c r="AI10" s="77">
        <f t="shared" si="0"/>
        <v>1987129.5892070457</v>
      </c>
    </row>
    <row r="11" spans="1:35" x14ac:dyDescent="0.25">
      <c r="A11" s="2" t="s">
        <v>83</v>
      </c>
      <c r="B11" s="10">
        <v>14101</v>
      </c>
      <c r="C11" s="10">
        <v>78478</v>
      </c>
      <c r="D11" s="10">
        <v>333860</v>
      </c>
      <c r="E11" s="10">
        <v>70370</v>
      </c>
      <c r="F11" s="10">
        <v>355912</v>
      </c>
      <c r="G11" s="10">
        <v>91557</v>
      </c>
      <c r="H11" s="10">
        <v>80352</v>
      </c>
      <c r="I11" s="10">
        <v>121301</v>
      </c>
      <c r="J11" s="10">
        <v>4463</v>
      </c>
      <c r="K11" s="10">
        <v>23285.61</v>
      </c>
      <c r="L11" s="10">
        <v>85188</v>
      </c>
      <c r="M11" s="10">
        <v>98203</v>
      </c>
      <c r="N11" s="10">
        <v>307322</v>
      </c>
      <c r="O11" s="10">
        <v>188690</v>
      </c>
      <c r="P11" s="10">
        <v>140337</v>
      </c>
      <c r="Q11" s="10">
        <v>20078</v>
      </c>
      <c r="R11" s="10">
        <v>36299</v>
      </c>
      <c r="S11" s="10">
        <v>33823</v>
      </c>
      <c r="T11" s="10">
        <v>104992</v>
      </c>
      <c r="U11" s="10">
        <f>48762+28408</f>
        <v>77170</v>
      </c>
      <c r="V11" s="10">
        <v>771733</v>
      </c>
      <c r="W11" s="10">
        <v>972729</v>
      </c>
      <c r="X11" s="10">
        <v>636066</v>
      </c>
      <c r="Y11" s="10">
        <v>11126</v>
      </c>
      <c r="Z11" s="10">
        <v>101211</v>
      </c>
      <c r="AA11" s="10">
        <v>175879</v>
      </c>
      <c r="AB11" s="10">
        <f>58355+37839</f>
        <v>96194</v>
      </c>
      <c r="AC11" s="10">
        <v>377004</v>
      </c>
      <c r="AD11" s="36">
        <v>36230</v>
      </c>
      <c r="AE11" s="10">
        <v>205709</v>
      </c>
      <c r="AF11" s="10">
        <v>326681</v>
      </c>
      <c r="AG11" s="10">
        <v>199534</v>
      </c>
      <c r="AH11" s="10">
        <v>305914</v>
      </c>
      <c r="AI11" s="77">
        <f t="shared" si="0"/>
        <v>6481791.6100000003</v>
      </c>
    </row>
    <row r="12" spans="1:35" x14ac:dyDescent="0.25">
      <c r="A12" s="2" t="s">
        <v>84</v>
      </c>
      <c r="B12" s="10"/>
      <c r="C12" s="10">
        <v>11131</v>
      </c>
      <c r="D12" s="10">
        <v>14721</v>
      </c>
      <c r="E12" s="10">
        <v>9515</v>
      </c>
      <c r="F12" s="10">
        <v>52970</v>
      </c>
      <c r="G12" s="10"/>
      <c r="H12" s="10">
        <v>20262</v>
      </c>
      <c r="I12" s="10"/>
      <c r="J12" s="10"/>
      <c r="K12" s="10">
        <v>1977.83</v>
      </c>
      <c r="L12" s="10">
        <v>1598</v>
      </c>
      <c r="M12" s="10"/>
      <c r="N12" s="10">
        <v>101687</v>
      </c>
      <c r="O12" s="10">
        <v>88285</v>
      </c>
      <c r="P12" s="10">
        <v>17811</v>
      </c>
      <c r="Q12" s="10">
        <v>21470</v>
      </c>
      <c r="R12" s="10">
        <v>2887</v>
      </c>
      <c r="S12" s="10">
        <v>6631</v>
      </c>
      <c r="T12" s="10"/>
      <c r="U12" s="10"/>
      <c r="V12" s="10">
        <v>518920</v>
      </c>
      <c r="W12" s="10">
        <v>1071483</v>
      </c>
      <c r="X12" s="10">
        <v>538532</v>
      </c>
      <c r="Y12" s="10">
        <v>66</v>
      </c>
      <c r="Z12" s="10">
        <v>10120</v>
      </c>
      <c r="AA12" s="10"/>
      <c r="AB12" s="10">
        <v>3611</v>
      </c>
      <c r="AC12" s="10">
        <v>643</v>
      </c>
      <c r="AD12" s="36">
        <v>281</v>
      </c>
      <c r="AE12" s="10">
        <v>26510</v>
      </c>
      <c r="AF12" s="10">
        <v>39538</v>
      </c>
      <c r="AG12" s="10">
        <v>453963</v>
      </c>
      <c r="AH12" s="10">
        <v>4006</v>
      </c>
      <c r="AI12" s="77">
        <f t="shared" si="0"/>
        <v>3018618.83</v>
      </c>
    </row>
    <row r="13" spans="1:35" x14ac:dyDescent="0.25">
      <c r="A13" s="2" t="s">
        <v>85</v>
      </c>
      <c r="B13" s="10">
        <v>2042</v>
      </c>
      <c r="C13" s="10">
        <v>23277</v>
      </c>
      <c r="D13" s="10">
        <v>6637</v>
      </c>
      <c r="E13" s="10">
        <v>12758</v>
      </c>
      <c r="F13" s="10">
        <v>76342</v>
      </c>
      <c r="G13" s="10">
        <v>8965</v>
      </c>
      <c r="H13" s="10">
        <v>8320</v>
      </c>
      <c r="I13" s="10">
        <v>8020</v>
      </c>
      <c r="J13" s="10">
        <v>1920</v>
      </c>
      <c r="K13" s="10"/>
      <c r="L13" s="10">
        <v>19044</v>
      </c>
      <c r="M13" s="10">
        <v>36028</v>
      </c>
      <c r="N13" s="10">
        <v>50512</v>
      </c>
      <c r="O13" s="10">
        <v>492769</v>
      </c>
      <c r="P13" s="10">
        <v>32720</v>
      </c>
      <c r="Q13" s="10">
        <v>1053</v>
      </c>
      <c r="R13" s="10">
        <v>13585</v>
      </c>
      <c r="S13" s="10">
        <v>1141</v>
      </c>
      <c r="T13" s="10">
        <v>7081</v>
      </c>
      <c r="U13" s="10">
        <v>22720</v>
      </c>
      <c r="V13" s="10">
        <v>15858</v>
      </c>
      <c r="W13" s="10">
        <v>23445</v>
      </c>
      <c r="X13" s="10">
        <v>13761</v>
      </c>
      <c r="Y13" s="10">
        <v>478</v>
      </c>
      <c r="Z13" s="10">
        <v>44145</v>
      </c>
      <c r="AA13" s="10">
        <v>24694</v>
      </c>
      <c r="AB13" s="10">
        <v>19026</v>
      </c>
      <c r="AC13" s="10">
        <v>52793</v>
      </c>
      <c r="AD13" s="36">
        <v>23816</v>
      </c>
      <c r="AE13" s="10">
        <v>78413</v>
      </c>
      <c r="AF13" s="10">
        <v>41795</v>
      </c>
      <c r="AG13" s="10">
        <v>21722</v>
      </c>
      <c r="AH13" s="10">
        <v>6804</v>
      </c>
      <c r="AI13" s="77">
        <f t="shared" si="0"/>
        <v>1191684</v>
      </c>
    </row>
    <row r="14" spans="1:35" x14ac:dyDescent="0.25">
      <c r="A14" s="2" t="s">
        <v>86</v>
      </c>
      <c r="B14" s="10"/>
      <c r="C14" s="10"/>
      <c r="D14" s="10">
        <v>5141</v>
      </c>
      <c r="E14" s="10"/>
      <c r="F14" s="10"/>
      <c r="G14" s="10"/>
      <c r="H14" s="10">
        <v>10296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4269</v>
      </c>
      <c r="T14" s="10"/>
      <c r="U14" s="10"/>
      <c r="V14" s="10">
        <v>84848</v>
      </c>
      <c r="W14" s="10"/>
      <c r="X14" s="10">
        <v>89606</v>
      </c>
      <c r="Y14" s="10"/>
      <c r="Z14" s="10"/>
      <c r="AA14" s="10"/>
      <c r="AB14" s="10"/>
      <c r="AC14" s="10"/>
      <c r="AD14" s="10"/>
      <c r="AE14" s="10"/>
      <c r="AF14" s="10"/>
      <c r="AG14" s="10">
        <v>70239</v>
      </c>
      <c r="AH14" s="10"/>
      <c r="AI14" s="77">
        <f t="shared" si="0"/>
        <v>264399</v>
      </c>
    </row>
    <row r="15" spans="1:35" x14ac:dyDescent="0.25">
      <c r="A15" s="2" t="s">
        <v>87</v>
      </c>
      <c r="B15" s="10">
        <f>B16-B14-B13-B12-B11-B10-B9-B8-B7-B6-B5-B4</f>
        <v>0</v>
      </c>
      <c r="C15" s="10">
        <f t="shared" ref="C15:AF15" si="1">C16-C14-C13-C12-C11-C10-C9-C8-C7-C6-C5-C4</f>
        <v>0</v>
      </c>
      <c r="D15" s="10">
        <f t="shared" si="1"/>
        <v>-808548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95060</v>
      </c>
      <c r="I15" s="10">
        <f t="shared" si="1"/>
        <v>0</v>
      </c>
      <c r="J15" s="10">
        <f>J16-J14-J13-J12-J11-J10-J9-J8-J7-J6-J5-J4</f>
        <v>0</v>
      </c>
      <c r="K15" s="10">
        <f>K16-K14-K13-K12-K11-K10-K9-K8-K7-K6-K5-K4</f>
        <v>14269.199999999753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16569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2297.5207929541357</v>
      </c>
      <c r="W15" s="10">
        <f t="shared" si="1"/>
        <v>207730</v>
      </c>
      <c r="X15" s="10">
        <f t="shared" si="1"/>
        <v>0</v>
      </c>
      <c r="Y15" s="10">
        <f t="shared" si="1"/>
        <v>1</v>
      </c>
      <c r="Z15" s="10">
        <f t="shared" si="1"/>
        <v>32</v>
      </c>
      <c r="AA15" s="10">
        <f t="shared" si="1"/>
        <v>-1</v>
      </c>
      <c r="AB15" s="10">
        <f t="shared" si="1"/>
        <v>1</v>
      </c>
      <c r="AC15" s="10">
        <f t="shared" si="1"/>
        <v>0</v>
      </c>
      <c r="AD15" s="10">
        <f t="shared" si="1"/>
        <v>0</v>
      </c>
      <c r="AE15" s="10">
        <f t="shared" si="1"/>
        <v>128</v>
      </c>
      <c r="AF15" s="10">
        <f t="shared" si="1"/>
        <v>51675</v>
      </c>
      <c r="AG15" s="10">
        <v>68262</v>
      </c>
      <c r="AH15" s="10">
        <f t="shared" ref="AH15" si="2">AH16-AH14-AH13-AH12-AH11-AH10-AH9-AH8-AH7-AH6-AH5-AH4</f>
        <v>0</v>
      </c>
      <c r="AI15" s="77">
        <f t="shared" si="0"/>
        <v>-352524.27920704614</v>
      </c>
    </row>
    <row r="16" spans="1:35" s="8" customFormat="1" x14ac:dyDescent="0.25">
      <c r="A16" s="3" t="s">
        <v>54</v>
      </c>
      <c r="B16" s="11">
        <v>73410</v>
      </c>
      <c r="C16" s="11">
        <v>603011</v>
      </c>
      <c r="D16" s="11">
        <v>1641138</v>
      </c>
      <c r="E16" s="11">
        <v>290225</v>
      </c>
      <c r="F16" s="11">
        <v>4195906</v>
      </c>
      <c r="G16" s="11">
        <v>164581</v>
      </c>
      <c r="H16" s="11">
        <v>704740</v>
      </c>
      <c r="I16" s="11">
        <v>518662</v>
      </c>
      <c r="J16" s="11">
        <v>93186</v>
      </c>
      <c r="K16" s="11">
        <v>1170662.81</v>
      </c>
      <c r="L16" s="11">
        <v>180817</v>
      </c>
      <c r="M16" s="11">
        <v>204823</v>
      </c>
      <c r="N16" s="11">
        <v>2146955</v>
      </c>
      <c r="O16" s="11">
        <v>6642251</v>
      </c>
      <c r="P16" s="11">
        <v>589135</v>
      </c>
      <c r="Q16" s="11">
        <v>75474</v>
      </c>
      <c r="R16" s="11">
        <v>208637</v>
      </c>
      <c r="S16" s="11">
        <v>255225</v>
      </c>
      <c r="T16" s="11">
        <v>156723</v>
      </c>
      <c r="U16" s="11">
        <v>387101</v>
      </c>
      <c r="V16" s="11">
        <v>2610619</v>
      </c>
      <c r="W16" s="11">
        <v>4663802</v>
      </c>
      <c r="X16" s="11">
        <v>2429343</v>
      </c>
      <c r="Y16" s="11">
        <v>33755</v>
      </c>
      <c r="Z16" s="11">
        <v>319253</v>
      </c>
      <c r="AA16" s="11">
        <v>530550</v>
      </c>
      <c r="AB16" s="11">
        <v>314101</v>
      </c>
      <c r="AC16" s="11">
        <v>1096906</v>
      </c>
      <c r="AD16" s="11">
        <v>492249</v>
      </c>
      <c r="AE16" s="11">
        <v>901325</v>
      </c>
      <c r="AF16" s="11">
        <v>1998678</v>
      </c>
      <c r="AG16" s="11">
        <v>1605063</v>
      </c>
      <c r="AH16" s="11">
        <v>371390</v>
      </c>
      <c r="AI16" s="76">
        <f t="shared" si="0"/>
        <v>37669696.810000002</v>
      </c>
    </row>
    <row r="17" spans="1:35" x14ac:dyDescent="0.25">
      <c r="A17" s="2" t="s">
        <v>88</v>
      </c>
      <c r="B17" s="10"/>
      <c r="C17" s="10">
        <v>16848</v>
      </c>
      <c r="D17" s="10">
        <v>57986</v>
      </c>
      <c r="E17" s="10">
        <v>111179</v>
      </c>
      <c r="F17" s="10">
        <v>99666</v>
      </c>
      <c r="G17" s="10">
        <v>20671</v>
      </c>
      <c r="H17" s="10">
        <v>18874</v>
      </c>
      <c r="I17" s="10">
        <v>19781</v>
      </c>
      <c r="J17" s="10">
        <v>28119</v>
      </c>
      <c r="K17" s="10">
        <v>1764252.34</v>
      </c>
      <c r="L17" s="10">
        <v>17179</v>
      </c>
      <c r="M17" s="10">
        <v>669608</v>
      </c>
      <c r="N17" s="10">
        <v>283155</v>
      </c>
      <c r="O17" s="10">
        <v>123563</v>
      </c>
      <c r="P17" s="10">
        <v>71321</v>
      </c>
      <c r="Q17" s="10">
        <v>1219</v>
      </c>
      <c r="R17" s="10">
        <v>37816</v>
      </c>
      <c r="S17" s="10">
        <v>14348</v>
      </c>
      <c r="T17" s="10">
        <v>91264</v>
      </c>
      <c r="U17" s="10">
        <v>24738</v>
      </c>
      <c r="V17" s="10">
        <v>1110000</v>
      </c>
      <c r="W17" s="10">
        <v>251604</v>
      </c>
      <c r="X17" s="10">
        <v>3549538</v>
      </c>
      <c r="Y17" s="10">
        <v>8833</v>
      </c>
      <c r="Z17" s="10">
        <v>92685</v>
      </c>
      <c r="AA17" s="10">
        <v>14661</v>
      </c>
      <c r="AB17" s="10">
        <v>150</v>
      </c>
      <c r="AC17" s="10">
        <v>19841</v>
      </c>
      <c r="AD17" s="10"/>
      <c r="AE17" s="10">
        <v>117288</v>
      </c>
      <c r="AF17" s="10">
        <v>72136</v>
      </c>
      <c r="AG17" s="10">
        <v>1114835</v>
      </c>
      <c r="AH17" s="10">
        <v>32632</v>
      </c>
      <c r="AI17" s="77">
        <f t="shared" si="0"/>
        <v>9855790.3399999999</v>
      </c>
    </row>
    <row r="18" spans="1:35" ht="30" x14ac:dyDescent="0.25">
      <c r="A18" s="2" t="s">
        <v>89</v>
      </c>
      <c r="B18" s="10"/>
      <c r="C18" s="10">
        <v>126532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77">
        <f t="shared" si="0"/>
        <v>126532</v>
      </c>
    </row>
    <row r="19" spans="1:35" s="8" customFormat="1" x14ac:dyDescent="0.25">
      <c r="A19" s="3" t="s">
        <v>90</v>
      </c>
      <c r="B19" s="11">
        <f>B16+B17+B18</f>
        <v>73410</v>
      </c>
      <c r="C19" s="11">
        <f t="shared" ref="C19:AH19" si="3">C16+C17+C18</f>
        <v>746391</v>
      </c>
      <c r="D19" s="11">
        <f t="shared" si="3"/>
        <v>1699124</v>
      </c>
      <c r="E19" s="11">
        <f t="shared" si="3"/>
        <v>401404</v>
      </c>
      <c r="F19" s="11">
        <f t="shared" si="3"/>
        <v>4295572</v>
      </c>
      <c r="G19" s="11">
        <f t="shared" si="3"/>
        <v>185252</v>
      </c>
      <c r="H19" s="11">
        <f t="shared" si="3"/>
        <v>723614</v>
      </c>
      <c r="I19" s="11">
        <f t="shared" si="3"/>
        <v>538443</v>
      </c>
      <c r="J19" s="11">
        <f t="shared" si="3"/>
        <v>121305</v>
      </c>
      <c r="K19" s="11">
        <f t="shared" si="3"/>
        <v>2934915.1500000004</v>
      </c>
      <c r="L19" s="11">
        <f t="shared" si="3"/>
        <v>197996</v>
      </c>
      <c r="M19" s="11">
        <f t="shared" si="3"/>
        <v>874431</v>
      </c>
      <c r="N19" s="11">
        <f t="shared" si="3"/>
        <v>2430110</v>
      </c>
      <c r="O19" s="11">
        <f t="shared" si="3"/>
        <v>6765814</v>
      </c>
      <c r="P19" s="11">
        <f t="shared" si="3"/>
        <v>660456</v>
      </c>
      <c r="Q19" s="11">
        <f t="shared" si="3"/>
        <v>76693</v>
      </c>
      <c r="R19" s="11">
        <f t="shared" si="3"/>
        <v>246453</v>
      </c>
      <c r="S19" s="11">
        <f t="shared" si="3"/>
        <v>269573</v>
      </c>
      <c r="T19" s="11">
        <f t="shared" si="3"/>
        <v>247987</v>
      </c>
      <c r="U19" s="11">
        <f t="shared" si="3"/>
        <v>411839</v>
      </c>
      <c r="V19" s="11">
        <f t="shared" si="3"/>
        <v>3720619</v>
      </c>
      <c r="W19" s="11">
        <f t="shared" si="3"/>
        <v>4915406</v>
      </c>
      <c r="X19" s="11">
        <f t="shared" si="3"/>
        <v>5978881</v>
      </c>
      <c r="Y19" s="11">
        <f t="shared" si="3"/>
        <v>42588</v>
      </c>
      <c r="Z19" s="11">
        <f t="shared" si="3"/>
        <v>411938</v>
      </c>
      <c r="AA19" s="11">
        <f t="shared" si="3"/>
        <v>545211</v>
      </c>
      <c r="AB19" s="11">
        <f t="shared" si="3"/>
        <v>314251</v>
      </c>
      <c r="AC19" s="11">
        <f t="shared" si="3"/>
        <v>1116747</v>
      </c>
      <c r="AD19" s="11">
        <f t="shared" si="3"/>
        <v>492249</v>
      </c>
      <c r="AE19" s="11">
        <f t="shared" si="3"/>
        <v>1018613</v>
      </c>
      <c r="AF19" s="11">
        <f t="shared" si="3"/>
        <v>2070814</v>
      </c>
      <c r="AG19" s="11">
        <f t="shared" si="3"/>
        <v>2719898</v>
      </c>
      <c r="AH19" s="11">
        <f t="shared" si="3"/>
        <v>404022</v>
      </c>
      <c r="AI19" s="76">
        <f t="shared" si="0"/>
        <v>47652019.149999999</v>
      </c>
    </row>
    <row r="32" spans="1:35" x14ac:dyDescent="0.25">
      <c r="G32" s="7">
        <v>4463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" customWidth="1"/>
    <col min="2" max="34" width="16" style="7" customWidth="1"/>
    <col min="35" max="16384" width="9.140625" style="7"/>
  </cols>
  <sheetData>
    <row r="1" spans="1:34" ht="18.75" x14ac:dyDescent="0.3">
      <c r="A1" s="17" t="s">
        <v>305</v>
      </c>
    </row>
    <row r="2" spans="1:34" x14ac:dyDescent="0.25">
      <c r="A2" s="6" t="s">
        <v>46</v>
      </c>
    </row>
    <row r="3" spans="1:34" x14ac:dyDescent="0.25">
      <c r="A3" s="1" t="s">
        <v>0</v>
      </c>
      <c r="B3" s="89" t="s">
        <v>1</v>
      </c>
      <c r="C3" s="89" t="s">
        <v>2</v>
      </c>
      <c r="D3" s="89" t="s">
        <v>3</v>
      </c>
      <c r="E3" s="89" t="s">
        <v>295</v>
      </c>
      <c r="F3" s="89" t="s">
        <v>5</v>
      </c>
      <c r="G3" s="89" t="s">
        <v>6</v>
      </c>
      <c r="H3" s="89" t="s">
        <v>7</v>
      </c>
      <c r="I3" s="89" t="s">
        <v>309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89" t="s">
        <v>15</v>
      </c>
      <c r="Q3" s="89" t="s">
        <v>16</v>
      </c>
      <c r="R3" s="89" t="s">
        <v>17</v>
      </c>
      <c r="S3" s="89" t="s">
        <v>18</v>
      </c>
      <c r="T3" s="89" t="s">
        <v>293</v>
      </c>
      <c r="U3" s="89" t="s">
        <v>19</v>
      </c>
      <c r="V3" s="89" t="s">
        <v>20</v>
      </c>
      <c r="W3" s="89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</row>
    <row r="4" spans="1:34" ht="15" customHeight="1" x14ac:dyDescent="0.25">
      <c r="A4" s="2" t="s">
        <v>91</v>
      </c>
      <c r="B4" s="10">
        <v>322</v>
      </c>
      <c r="C4" s="10">
        <v>1689</v>
      </c>
      <c r="D4" s="10">
        <v>20</v>
      </c>
      <c r="E4" s="10">
        <v>87582</v>
      </c>
      <c r="F4" s="10">
        <v>9646</v>
      </c>
      <c r="G4" s="10">
        <v>26409</v>
      </c>
      <c r="H4" s="10">
        <v>83097</v>
      </c>
      <c r="I4" s="10">
        <v>4068</v>
      </c>
      <c r="J4" s="10">
        <v>1588</v>
      </c>
      <c r="K4" s="10">
        <v>1435.91</v>
      </c>
      <c r="L4" s="10">
        <v>126729</v>
      </c>
      <c r="M4" s="10">
        <v>381333</v>
      </c>
      <c r="N4" s="10">
        <v>270991</v>
      </c>
      <c r="O4" s="10">
        <v>21702</v>
      </c>
      <c r="P4" s="10">
        <v>17329</v>
      </c>
      <c r="Q4" s="10">
        <v>20061</v>
      </c>
      <c r="R4" s="10">
        <v>105193</v>
      </c>
      <c r="S4" s="10">
        <v>14803</v>
      </c>
      <c r="T4" s="10">
        <v>8902</v>
      </c>
      <c r="U4" s="10">
        <v>30279</v>
      </c>
      <c r="V4" s="10">
        <v>57929</v>
      </c>
      <c r="W4" s="10">
        <v>520579</v>
      </c>
      <c r="X4" s="10">
        <v>462597</v>
      </c>
      <c r="Y4" s="10">
        <v>7</v>
      </c>
      <c r="Z4" s="10">
        <v>9527</v>
      </c>
      <c r="AA4" s="10">
        <v>12450</v>
      </c>
      <c r="AB4" s="10">
        <v>10561</v>
      </c>
      <c r="AC4" s="10">
        <v>135518</v>
      </c>
      <c r="AD4" s="10">
        <v>7795</v>
      </c>
      <c r="AE4" s="10">
        <v>866498</v>
      </c>
      <c r="AF4" s="10">
        <v>181676</v>
      </c>
      <c r="AG4" s="10">
        <v>499642</v>
      </c>
      <c r="AH4" s="10">
        <v>4870</v>
      </c>
    </row>
    <row r="5" spans="1:34" x14ac:dyDescent="0.25">
      <c r="A5" s="2" t="s">
        <v>92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5">
      <c r="A6" s="2" t="s">
        <v>93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>
        <v>6671</v>
      </c>
      <c r="AD6" s="10"/>
      <c r="AE6" s="10"/>
      <c r="AF6" s="10"/>
      <c r="AG6" s="10"/>
      <c r="AH6" s="10"/>
    </row>
    <row r="7" spans="1:34" ht="15" customHeight="1" x14ac:dyDescent="0.25">
      <c r="A7" s="2" t="s">
        <v>94</v>
      </c>
      <c r="B7" s="10"/>
      <c r="C7" s="10">
        <v>611</v>
      </c>
      <c r="D7" s="10">
        <v>46942490</v>
      </c>
      <c r="E7" s="10">
        <v>1604370</v>
      </c>
      <c r="F7" s="10">
        <v>1820520</v>
      </c>
      <c r="G7" s="10">
        <v>922362</v>
      </c>
      <c r="H7" s="10"/>
      <c r="I7" s="10">
        <v>1000</v>
      </c>
      <c r="J7" s="10"/>
      <c r="K7" s="10">
        <v>10652510</v>
      </c>
      <c r="L7" s="10">
        <v>127684</v>
      </c>
      <c r="M7" s="10"/>
      <c r="N7" s="10">
        <v>4449588</v>
      </c>
      <c r="O7" s="10">
        <v>1590</v>
      </c>
      <c r="P7" s="10"/>
      <c r="Q7" s="10"/>
      <c r="R7" s="10">
        <v>58082</v>
      </c>
      <c r="S7" s="10"/>
      <c r="T7" s="10">
        <v>67700</v>
      </c>
      <c r="U7" s="10">
        <v>46000</v>
      </c>
      <c r="V7" s="10">
        <v>2967787</v>
      </c>
      <c r="W7" s="10">
        <v>37677803</v>
      </c>
      <c r="X7" s="10">
        <v>21988450</v>
      </c>
      <c r="Y7" s="10"/>
      <c r="Z7" s="10">
        <v>14476</v>
      </c>
      <c r="AA7" s="10">
        <v>6828</v>
      </c>
      <c r="AB7" s="10"/>
      <c r="AC7" s="10"/>
      <c r="AD7" s="10"/>
      <c r="AE7" s="10">
        <v>400000</v>
      </c>
      <c r="AF7" s="10"/>
      <c r="AG7" s="10">
        <v>11727713</v>
      </c>
      <c r="AH7" s="10"/>
    </row>
    <row r="8" spans="1:34" x14ac:dyDescent="0.25">
      <c r="A8" s="2" t="s">
        <v>95</v>
      </c>
      <c r="B8" s="10"/>
      <c r="C8" s="10">
        <v>3200</v>
      </c>
      <c r="D8" s="10"/>
      <c r="E8" s="10">
        <v>257000</v>
      </c>
      <c r="F8" s="10"/>
      <c r="G8" s="10"/>
      <c r="H8" s="10"/>
      <c r="I8" s="10"/>
      <c r="J8" s="10"/>
      <c r="K8" s="10">
        <v>250000</v>
      </c>
      <c r="L8" s="10">
        <v>1885</v>
      </c>
      <c r="M8" s="10"/>
      <c r="N8" s="10">
        <v>16853</v>
      </c>
      <c r="O8" s="10"/>
      <c r="P8" s="10"/>
      <c r="Q8" s="10">
        <v>10000</v>
      </c>
      <c r="R8" s="10"/>
      <c r="S8" s="10"/>
      <c r="T8" s="10">
        <v>2500</v>
      </c>
      <c r="U8" s="10"/>
      <c r="V8" s="10"/>
      <c r="W8" s="10">
        <v>57390870</v>
      </c>
      <c r="X8" s="10"/>
      <c r="Y8" s="10"/>
      <c r="Z8" s="10"/>
      <c r="AA8" s="10">
        <v>4524</v>
      </c>
      <c r="AB8" s="10"/>
      <c r="AC8" s="10"/>
      <c r="AD8" s="10"/>
      <c r="AE8" s="10">
        <v>579400</v>
      </c>
      <c r="AF8" s="10"/>
      <c r="AG8" s="10"/>
      <c r="AH8" s="10"/>
    </row>
    <row r="9" spans="1:34" x14ac:dyDescent="0.25">
      <c r="A9" s="2" t="s">
        <v>96</v>
      </c>
      <c r="B9" s="10">
        <v>134188</v>
      </c>
      <c r="C9" s="10">
        <v>345826</v>
      </c>
      <c r="D9" s="10">
        <v>22017707</v>
      </c>
      <c r="E9" s="10">
        <v>536997</v>
      </c>
      <c r="F9" s="10">
        <v>3117727</v>
      </c>
      <c r="G9" s="10">
        <v>1500005</v>
      </c>
      <c r="H9" s="10">
        <v>289135</v>
      </c>
      <c r="I9" s="10">
        <v>47134</v>
      </c>
      <c r="J9" s="10">
        <v>43921</v>
      </c>
      <c r="K9" s="10">
        <v>104284.84</v>
      </c>
      <c r="L9" s="10">
        <v>1879357</v>
      </c>
      <c r="M9" s="10">
        <v>361199</v>
      </c>
      <c r="N9" s="10">
        <v>2586074</v>
      </c>
      <c r="O9" s="10">
        <v>303070</v>
      </c>
      <c r="P9" s="10">
        <v>3682268</v>
      </c>
      <c r="Q9" s="10">
        <v>47120</v>
      </c>
      <c r="R9" s="10">
        <v>107449</v>
      </c>
      <c r="S9" s="10">
        <v>122026</v>
      </c>
      <c r="T9" s="10">
        <v>85217</v>
      </c>
      <c r="U9" s="10">
        <v>112990</v>
      </c>
      <c r="V9" s="10">
        <v>3883402</v>
      </c>
      <c r="W9" s="10">
        <v>16077985</v>
      </c>
      <c r="X9" s="10">
        <v>8775716</v>
      </c>
      <c r="Y9" s="10">
        <v>176442</v>
      </c>
      <c r="Z9" s="10">
        <v>695716</v>
      </c>
      <c r="AA9" s="10">
        <v>534772</v>
      </c>
      <c r="AB9" s="10">
        <v>584230</v>
      </c>
      <c r="AC9" s="10">
        <v>1978907</v>
      </c>
      <c r="AD9" s="10">
        <v>247520</v>
      </c>
      <c r="AE9" s="10">
        <v>4268463</v>
      </c>
      <c r="AF9" s="10">
        <v>3312924</v>
      </c>
      <c r="AG9" s="10">
        <v>4823080</v>
      </c>
      <c r="AH9" s="10">
        <v>833533</v>
      </c>
    </row>
    <row r="10" spans="1:34" x14ac:dyDescent="0.25">
      <c r="A10" s="2" t="s">
        <v>97</v>
      </c>
      <c r="B10" s="10"/>
      <c r="C10" s="10"/>
      <c r="D10" s="10"/>
      <c r="E10" s="10"/>
      <c r="F10" s="10">
        <v>811784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200940</v>
      </c>
      <c r="AA10" s="10"/>
      <c r="AB10" s="10"/>
      <c r="AC10" s="10"/>
      <c r="AD10" s="10">
        <v>79132</v>
      </c>
      <c r="AE10" s="10"/>
      <c r="AF10" s="10"/>
      <c r="AG10" s="10"/>
      <c r="AH10" s="10"/>
    </row>
    <row r="11" spans="1:34" x14ac:dyDescent="0.25">
      <c r="A11" s="2" t="s">
        <v>98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5">
      <c r="A12" s="2" t="s">
        <v>99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25">
      <c r="A13" s="2" t="s">
        <v>100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25">
      <c r="A14" s="2" t="s">
        <v>101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v>49896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>
        <v>299799</v>
      </c>
      <c r="AH14" s="10"/>
    </row>
    <row r="15" spans="1:34" x14ac:dyDescent="0.25">
      <c r="A15" s="2" t="s">
        <v>44</v>
      </c>
      <c r="B15" s="10">
        <f>B16-B14-B13-B12-B11-B10-B9-B8-B7-B6-B5-B4</f>
        <v>146</v>
      </c>
      <c r="C15" s="10">
        <f t="shared" ref="C15:AH15" si="0">C16-C14-C13-C12-C11-C10-C9-C8-C7-C6-C5-C4</f>
        <v>331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43037</v>
      </c>
      <c r="I15" s="10">
        <f t="shared" si="0"/>
        <v>0</v>
      </c>
      <c r="J15" s="10">
        <f t="shared" si="0"/>
        <v>0</v>
      </c>
      <c r="K15" s="10">
        <f t="shared" si="0"/>
        <v>100.00000000014893</v>
      </c>
      <c r="L15" s="10">
        <f t="shared" si="0"/>
        <v>0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0">
        <f t="shared" si="0"/>
        <v>0</v>
      </c>
      <c r="Q15" s="10">
        <f t="shared" si="0"/>
        <v>0</v>
      </c>
      <c r="R15" s="10">
        <f t="shared" si="0"/>
        <v>0</v>
      </c>
      <c r="S15" s="10">
        <f t="shared" si="0"/>
        <v>0</v>
      </c>
      <c r="T15" s="10">
        <f t="shared" si="0"/>
        <v>-79102</v>
      </c>
      <c r="U15" s="10">
        <f t="shared" si="0"/>
        <v>0</v>
      </c>
      <c r="V15" s="10">
        <f t="shared" si="0"/>
        <v>75503</v>
      </c>
      <c r="W15" s="10">
        <f t="shared" si="0"/>
        <v>0</v>
      </c>
      <c r="X15" s="10">
        <f t="shared" si="0"/>
        <v>0</v>
      </c>
      <c r="Y15" s="10">
        <f t="shared" si="0"/>
        <v>0</v>
      </c>
      <c r="Z15" s="10">
        <f t="shared" si="0"/>
        <v>0</v>
      </c>
      <c r="AA15" s="10">
        <f t="shared" si="0"/>
        <v>0</v>
      </c>
      <c r="AB15" s="10">
        <f t="shared" si="0"/>
        <v>0</v>
      </c>
      <c r="AC15" s="10">
        <f t="shared" si="0"/>
        <v>0</v>
      </c>
      <c r="AD15" s="10">
        <f t="shared" si="0"/>
        <v>0</v>
      </c>
      <c r="AE15" s="10">
        <f t="shared" si="0"/>
        <v>0</v>
      </c>
      <c r="AF15" s="10">
        <f t="shared" si="0"/>
        <v>0</v>
      </c>
      <c r="AG15" s="10">
        <f t="shared" si="0"/>
        <v>0</v>
      </c>
      <c r="AH15" s="10">
        <f t="shared" si="0"/>
        <v>0</v>
      </c>
    </row>
    <row r="16" spans="1:34" s="8" customFormat="1" x14ac:dyDescent="0.25">
      <c r="A16" s="3" t="s">
        <v>54</v>
      </c>
      <c r="B16" s="11">
        <v>134656</v>
      </c>
      <c r="C16" s="11">
        <v>351657</v>
      </c>
      <c r="D16" s="11">
        <v>68960217</v>
      </c>
      <c r="E16" s="11">
        <v>2485949</v>
      </c>
      <c r="F16" s="11">
        <v>5759677</v>
      </c>
      <c r="G16" s="11">
        <v>2448776</v>
      </c>
      <c r="H16" s="11">
        <v>415269</v>
      </c>
      <c r="I16" s="11">
        <v>52202</v>
      </c>
      <c r="J16" s="11">
        <v>45509</v>
      </c>
      <c r="K16" s="11">
        <v>11008330.75</v>
      </c>
      <c r="L16" s="11">
        <v>2135655</v>
      </c>
      <c r="M16" s="11">
        <v>742532</v>
      </c>
      <c r="N16" s="11">
        <v>7323506</v>
      </c>
      <c r="O16" s="11">
        <v>326362</v>
      </c>
      <c r="P16" s="11">
        <v>3699597</v>
      </c>
      <c r="Q16" s="11">
        <v>77181</v>
      </c>
      <c r="R16" s="11">
        <v>270724</v>
      </c>
      <c r="S16" s="11">
        <v>136829</v>
      </c>
      <c r="T16" s="11">
        <v>85217</v>
      </c>
      <c r="U16" s="11">
        <v>189269</v>
      </c>
      <c r="V16" s="11">
        <v>6984621</v>
      </c>
      <c r="W16" s="11">
        <v>111717133</v>
      </c>
      <c r="X16" s="11">
        <v>31226763</v>
      </c>
      <c r="Y16" s="11">
        <v>176449</v>
      </c>
      <c r="Z16" s="11">
        <v>920659</v>
      </c>
      <c r="AA16" s="11">
        <v>558574</v>
      </c>
      <c r="AB16" s="11">
        <v>594791</v>
      </c>
      <c r="AC16" s="11">
        <v>2121096</v>
      </c>
      <c r="AD16" s="11">
        <v>334447</v>
      </c>
      <c r="AE16" s="11">
        <v>6114361</v>
      </c>
      <c r="AF16" s="11">
        <v>3494600</v>
      </c>
      <c r="AG16" s="11">
        <v>17350234</v>
      </c>
      <c r="AH16" s="11">
        <v>838403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34" width="16" style="7" customWidth="1"/>
    <col min="35" max="16384" width="9.140625" style="7"/>
  </cols>
  <sheetData>
    <row r="1" spans="1:34" ht="18.75" x14ac:dyDescent="0.3">
      <c r="A1" s="17" t="s">
        <v>306</v>
      </c>
    </row>
    <row r="2" spans="1:34" x14ac:dyDescent="0.25">
      <c r="A2" s="18" t="s">
        <v>46</v>
      </c>
    </row>
    <row r="3" spans="1:34" x14ac:dyDescent="0.25">
      <c r="A3" s="1" t="s">
        <v>0</v>
      </c>
      <c r="B3" s="89" t="s">
        <v>1</v>
      </c>
      <c r="C3" s="89" t="s">
        <v>2</v>
      </c>
      <c r="D3" s="89" t="s">
        <v>3</v>
      </c>
      <c r="E3" s="89" t="s">
        <v>295</v>
      </c>
      <c r="F3" s="89" t="s">
        <v>5</v>
      </c>
      <c r="G3" s="89" t="s">
        <v>6</v>
      </c>
      <c r="H3" s="89" t="s">
        <v>7</v>
      </c>
      <c r="I3" s="89" t="s">
        <v>309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89" t="s">
        <v>15</v>
      </c>
      <c r="Q3" s="89" t="s">
        <v>16</v>
      </c>
      <c r="R3" s="89" t="s">
        <v>17</v>
      </c>
      <c r="S3" s="89" t="s">
        <v>18</v>
      </c>
      <c r="T3" s="89" t="s">
        <v>293</v>
      </c>
      <c r="U3" s="89" t="s">
        <v>19</v>
      </c>
      <c r="V3" s="89" t="s">
        <v>20</v>
      </c>
      <c r="W3" s="89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</row>
    <row r="4" spans="1:34" x14ac:dyDescent="0.25">
      <c r="A4" s="2" t="s">
        <v>102</v>
      </c>
      <c r="B4" s="10">
        <v>17702</v>
      </c>
      <c r="C4" s="10">
        <v>146693</v>
      </c>
      <c r="D4" s="10">
        <v>77962719</v>
      </c>
      <c r="E4" s="10">
        <v>467732</v>
      </c>
      <c r="F4" s="10">
        <v>1136182</v>
      </c>
      <c r="G4" s="10">
        <v>166698</v>
      </c>
      <c r="H4" s="10">
        <v>159870</v>
      </c>
      <c r="I4" s="10">
        <v>69113</v>
      </c>
      <c r="J4" s="10">
        <v>3479</v>
      </c>
      <c r="K4" s="10">
        <v>935419.25</v>
      </c>
      <c r="L4" s="10">
        <v>136742</v>
      </c>
      <c r="M4" s="10">
        <v>126800</v>
      </c>
      <c r="N4" s="10">
        <v>240598</v>
      </c>
      <c r="O4" s="10">
        <v>43709</v>
      </c>
      <c r="P4" s="10">
        <v>513557</v>
      </c>
      <c r="Q4" s="10">
        <v>27978</v>
      </c>
      <c r="R4" s="10">
        <v>199607</v>
      </c>
      <c r="S4" s="10">
        <v>12625</v>
      </c>
      <c r="T4" s="10">
        <v>67819</v>
      </c>
      <c r="U4" s="10">
        <v>158295</v>
      </c>
      <c r="V4" s="10">
        <v>947333</v>
      </c>
      <c r="W4" s="10">
        <v>2277594</v>
      </c>
      <c r="X4" s="10">
        <v>1081842</v>
      </c>
      <c r="Y4" s="10">
        <v>82602</v>
      </c>
      <c r="Z4" s="10">
        <v>157653</v>
      </c>
      <c r="AA4" s="10">
        <v>186265</v>
      </c>
      <c r="AB4" s="10">
        <v>309575</v>
      </c>
      <c r="AC4" s="10">
        <v>329535</v>
      </c>
      <c r="AD4" s="36">
        <v>139164</v>
      </c>
      <c r="AE4" s="10">
        <v>470696</v>
      </c>
      <c r="AF4" s="10">
        <v>837078</v>
      </c>
      <c r="AG4" s="10">
        <v>951006</v>
      </c>
      <c r="AH4" s="10">
        <v>137138</v>
      </c>
    </row>
    <row r="5" spans="1:34" ht="15" customHeight="1" x14ac:dyDescent="0.25">
      <c r="A5" s="2" t="s">
        <v>103</v>
      </c>
      <c r="B5" s="10">
        <v>402241</v>
      </c>
      <c r="C5" s="10">
        <v>705290</v>
      </c>
      <c r="D5" s="10"/>
      <c r="E5" s="10">
        <v>820201</v>
      </c>
      <c r="F5" s="10">
        <v>12132834</v>
      </c>
      <c r="G5" s="10">
        <v>5838478</v>
      </c>
      <c r="H5" s="10">
        <v>2385586</v>
      </c>
      <c r="I5" s="10">
        <v>23554</v>
      </c>
      <c r="J5" s="10">
        <v>141767</v>
      </c>
      <c r="K5" s="10"/>
      <c r="L5" s="10">
        <v>4544328</v>
      </c>
      <c r="M5" s="10">
        <v>3011308</v>
      </c>
      <c r="N5" s="10">
        <v>26803839</v>
      </c>
      <c r="O5" s="10">
        <v>19283318</v>
      </c>
      <c r="P5" s="10">
        <v>12522392</v>
      </c>
      <c r="Q5" s="10">
        <v>90544</v>
      </c>
      <c r="R5" s="10">
        <v>351920</v>
      </c>
      <c r="S5" s="10">
        <v>566610</v>
      </c>
      <c r="T5" s="10"/>
      <c r="U5" s="10">
        <v>921767</v>
      </c>
      <c r="V5" s="10">
        <v>32940248</v>
      </c>
      <c r="W5" s="10">
        <v>16021255</v>
      </c>
      <c r="X5" s="10">
        <v>17053796</v>
      </c>
      <c r="Y5" s="10">
        <v>181950</v>
      </c>
      <c r="Z5" s="10">
        <v>12467819</v>
      </c>
      <c r="AA5" s="10">
        <v>207412</v>
      </c>
      <c r="AB5" s="10">
        <v>5848371</v>
      </c>
      <c r="AC5" s="10">
        <v>10149950</v>
      </c>
      <c r="AD5" s="36">
        <v>301174</v>
      </c>
      <c r="AE5" s="10">
        <v>207508</v>
      </c>
      <c r="AF5" s="10">
        <v>7553432</v>
      </c>
      <c r="AG5" s="10">
        <v>19305861</v>
      </c>
      <c r="AH5" s="10">
        <v>3645517</v>
      </c>
    </row>
    <row r="6" spans="1:34" ht="15" customHeight="1" x14ac:dyDescent="0.25">
      <c r="A6" s="2" t="s">
        <v>104</v>
      </c>
      <c r="B6" s="10"/>
      <c r="C6" s="10"/>
      <c r="D6" s="10"/>
      <c r="E6" s="10"/>
      <c r="F6" s="10"/>
      <c r="G6" s="10">
        <v>78815</v>
      </c>
      <c r="H6" s="10"/>
      <c r="I6" s="10"/>
      <c r="J6" s="10"/>
      <c r="K6" s="10"/>
      <c r="L6" s="10"/>
      <c r="M6" s="10"/>
      <c r="N6" s="10"/>
      <c r="O6" s="10">
        <v>175208</v>
      </c>
      <c r="P6" s="10"/>
      <c r="Q6" s="10"/>
      <c r="S6" s="10">
        <v>906784</v>
      </c>
      <c r="T6" s="10"/>
      <c r="U6" s="10"/>
      <c r="V6" s="10">
        <v>22102189</v>
      </c>
      <c r="W6" s="10">
        <v>768026</v>
      </c>
      <c r="X6" s="10">
        <v>73078</v>
      </c>
      <c r="Y6" s="10"/>
      <c r="Z6" s="10"/>
      <c r="AA6" s="10"/>
      <c r="AB6" s="10"/>
      <c r="AC6" s="10"/>
      <c r="AD6" s="10"/>
      <c r="AE6" s="10"/>
      <c r="AF6" s="10"/>
      <c r="AG6" s="10">
        <v>4822</v>
      </c>
      <c r="AH6" s="10"/>
    </row>
    <row r="7" spans="1:34" ht="15" customHeight="1" x14ac:dyDescent="0.25">
      <c r="A7" s="2" t="s">
        <v>105</v>
      </c>
      <c r="B7" s="10">
        <v>488538</v>
      </c>
      <c r="C7" s="10">
        <v>60384</v>
      </c>
      <c r="D7" s="10"/>
      <c r="E7" s="10">
        <v>135432</v>
      </c>
      <c r="F7" s="10">
        <v>11390057</v>
      </c>
      <c r="G7" s="10">
        <v>4970404</v>
      </c>
      <c r="H7" s="10">
        <v>6691722</v>
      </c>
      <c r="I7" s="10">
        <v>111667</v>
      </c>
      <c r="J7" s="10">
        <v>46510</v>
      </c>
      <c r="K7" s="10">
        <v>2171608.73</v>
      </c>
      <c r="L7" s="10">
        <v>957560</v>
      </c>
      <c r="M7" s="10">
        <v>151481</v>
      </c>
      <c r="N7" s="10">
        <v>7443498</v>
      </c>
      <c r="O7" s="10">
        <v>30511459</v>
      </c>
      <c r="P7" s="10">
        <v>8766075</v>
      </c>
      <c r="Q7" s="10">
        <v>250889</v>
      </c>
      <c r="R7" s="10">
        <v>4241148</v>
      </c>
      <c r="S7" s="10">
        <v>2301051</v>
      </c>
      <c r="T7" s="10">
        <v>132280</v>
      </c>
      <c r="U7" s="10">
        <v>74687</v>
      </c>
      <c r="V7" s="10">
        <v>11621319</v>
      </c>
      <c r="W7" s="10">
        <v>9921276</v>
      </c>
      <c r="X7" s="10">
        <v>7614256</v>
      </c>
      <c r="Y7" s="10">
        <v>5435</v>
      </c>
      <c r="Z7" s="10">
        <v>6492914</v>
      </c>
      <c r="AA7" s="10">
        <v>611302</v>
      </c>
      <c r="AB7" s="10">
        <v>1874708</v>
      </c>
      <c r="AC7" s="10">
        <v>2336231</v>
      </c>
      <c r="AD7" s="36">
        <v>3583076</v>
      </c>
      <c r="AE7" s="10">
        <v>730633</v>
      </c>
      <c r="AF7" s="10">
        <v>14858485</v>
      </c>
      <c r="AG7" s="10">
        <v>5256053</v>
      </c>
      <c r="AH7" s="10">
        <v>2625941</v>
      </c>
    </row>
    <row r="8" spans="1:34" ht="15" customHeight="1" x14ac:dyDescent="0.25">
      <c r="A8" s="2" t="s">
        <v>106</v>
      </c>
      <c r="B8" s="10"/>
      <c r="C8" s="10">
        <v>836172</v>
      </c>
      <c r="D8" s="10"/>
      <c r="E8" s="10">
        <v>332792</v>
      </c>
      <c r="F8" s="10">
        <v>4532671</v>
      </c>
      <c r="G8" s="10">
        <v>796267</v>
      </c>
      <c r="H8" s="10">
        <v>1794475</v>
      </c>
      <c r="I8" s="10">
        <v>10287</v>
      </c>
      <c r="J8" s="10">
        <v>54921</v>
      </c>
      <c r="K8" s="10">
        <v>486380.92</v>
      </c>
      <c r="L8" s="10">
        <v>1868885</v>
      </c>
      <c r="M8" s="10">
        <v>4463478</v>
      </c>
      <c r="N8" s="10">
        <v>6269284</v>
      </c>
      <c r="O8" s="10">
        <v>9838942</v>
      </c>
      <c r="P8" s="10">
        <v>722196</v>
      </c>
      <c r="Q8" s="10">
        <v>113036</v>
      </c>
      <c r="R8" s="10">
        <v>953552</v>
      </c>
      <c r="S8" s="10">
        <v>42665</v>
      </c>
      <c r="T8" s="10">
        <v>210013</v>
      </c>
      <c r="U8" s="10">
        <v>66346</v>
      </c>
      <c r="V8" s="10"/>
      <c r="W8" s="10">
        <v>28561854</v>
      </c>
      <c r="X8" s="10"/>
      <c r="Y8" s="10">
        <v>6217</v>
      </c>
      <c r="Z8" s="10">
        <v>4785383</v>
      </c>
      <c r="AA8" s="10">
        <v>710262</v>
      </c>
      <c r="AB8" s="10">
        <v>345784</v>
      </c>
      <c r="AC8" s="10">
        <v>3805668</v>
      </c>
      <c r="AD8" s="36">
        <v>462586</v>
      </c>
      <c r="AE8" s="10">
        <v>93989</v>
      </c>
      <c r="AF8" s="10">
        <v>2434791</v>
      </c>
      <c r="AG8" s="10"/>
      <c r="AH8" s="10">
        <v>2331</v>
      </c>
    </row>
    <row r="9" spans="1:34" ht="15" customHeight="1" x14ac:dyDescent="0.25">
      <c r="A9" s="2" t="s">
        <v>107</v>
      </c>
      <c r="B9" s="10">
        <v>240658</v>
      </c>
      <c r="C9" s="10">
        <v>869961</v>
      </c>
      <c r="D9" s="10">
        <v>1941895</v>
      </c>
      <c r="E9" s="10">
        <v>171816</v>
      </c>
      <c r="F9" s="10">
        <v>3547047</v>
      </c>
      <c r="G9" s="10">
        <v>1644057</v>
      </c>
      <c r="H9" s="10">
        <f>3124+211237</f>
        <v>214361</v>
      </c>
      <c r="I9" s="10">
        <v>189423</v>
      </c>
      <c r="J9" s="10">
        <v>261848</v>
      </c>
      <c r="K9" s="10">
        <v>815985.26</v>
      </c>
      <c r="L9" s="10">
        <v>1502988</v>
      </c>
      <c r="M9" s="10">
        <v>1133857</v>
      </c>
      <c r="N9" s="10">
        <v>3205087</v>
      </c>
      <c r="O9" s="10">
        <v>4264684</v>
      </c>
      <c r="P9" s="10">
        <v>1430815</v>
      </c>
      <c r="Q9" s="10">
        <v>3097</v>
      </c>
      <c r="R9" s="10">
        <v>333026</v>
      </c>
      <c r="S9" s="10">
        <v>325956</v>
      </c>
      <c r="T9" s="10">
        <v>83358</v>
      </c>
      <c r="U9" s="10">
        <v>1223524</v>
      </c>
      <c r="V9" s="10">
        <v>34390254</v>
      </c>
      <c r="W9" s="10">
        <v>36355584</v>
      </c>
      <c r="X9" s="10">
        <v>39220522</v>
      </c>
      <c r="Y9" s="10">
        <v>179468</v>
      </c>
      <c r="Z9" s="10">
        <v>2660103</v>
      </c>
      <c r="AA9" s="10">
        <v>1765435</v>
      </c>
      <c r="AB9" s="10">
        <v>1675184</v>
      </c>
      <c r="AC9" s="10">
        <v>257778</v>
      </c>
      <c r="AD9" s="36">
        <v>317528</v>
      </c>
      <c r="AE9" s="10">
        <v>2166053</v>
      </c>
      <c r="AF9" s="10">
        <v>3093637</v>
      </c>
      <c r="AG9" s="10">
        <v>24852721</v>
      </c>
      <c r="AH9" s="10">
        <v>697862</v>
      </c>
    </row>
    <row r="10" spans="1:34" ht="15" customHeight="1" x14ac:dyDescent="0.25">
      <c r="A10" s="2" t="s">
        <v>108</v>
      </c>
      <c r="B10" s="10">
        <v>16868</v>
      </c>
      <c r="C10" s="10">
        <v>69293</v>
      </c>
      <c r="D10" s="10"/>
      <c r="E10" s="10"/>
      <c r="F10" s="10"/>
      <c r="G10" s="10"/>
      <c r="H10" s="10"/>
      <c r="I10" s="10"/>
      <c r="J10" s="10">
        <v>18131</v>
      </c>
      <c r="K10" s="10"/>
      <c r="L10" s="10"/>
      <c r="M10" s="10">
        <v>18296</v>
      </c>
      <c r="N10" s="10">
        <v>97576</v>
      </c>
      <c r="O10" s="10">
        <v>77383</v>
      </c>
      <c r="P10" s="10"/>
      <c r="Q10" s="10">
        <v>15200</v>
      </c>
      <c r="R10" s="10"/>
      <c r="S10" s="10"/>
      <c r="T10" s="10"/>
      <c r="U10" s="10"/>
      <c r="V10" s="10"/>
      <c r="W10" s="10">
        <v>0</v>
      </c>
      <c r="X10" s="10"/>
      <c r="Y10" s="10"/>
      <c r="Z10" s="10"/>
      <c r="AA10" s="10">
        <v>955</v>
      </c>
      <c r="AB10" s="10"/>
      <c r="AC10" s="10">
        <v>147635</v>
      </c>
      <c r="AD10" s="10"/>
      <c r="AE10" s="10"/>
      <c r="AF10" s="10"/>
      <c r="AG10" s="10"/>
      <c r="AH10" s="10"/>
    </row>
    <row r="11" spans="1:34" ht="15" customHeight="1" x14ac:dyDescent="0.25">
      <c r="A11" s="2" t="s">
        <v>109</v>
      </c>
      <c r="B11" s="10">
        <v>664303</v>
      </c>
      <c r="C11" s="10">
        <v>799205</v>
      </c>
      <c r="D11" s="10">
        <v>30343471</v>
      </c>
      <c r="E11" s="10">
        <v>2873317</v>
      </c>
      <c r="F11" s="10">
        <v>83580981</v>
      </c>
      <c r="G11" s="10">
        <f>23851111+330401</f>
        <v>24181512</v>
      </c>
      <c r="H11" s="10">
        <v>53480159</v>
      </c>
      <c r="I11" s="10">
        <v>726569</v>
      </c>
      <c r="J11" s="10">
        <v>822665</v>
      </c>
      <c r="K11" s="10">
        <v>66741573.270000003</v>
      </c>
      <c r="L11" s="10">
        <v>21831254</v>
      </c>
      <c r="M11" s="10">
        <v>9567801</v>
      </c>
      <c r="N11" s="10">
        <v>44707492</v>
      </c>
      <c r="O11" s="10">
        <v>180073743</v>
      </c>
      <c r="P11" s="10">
        <v>53183426</v>
      </c>
      <c r="Q11" s="10">
        <v>2388665</v>
      </c>
      <c r="R11" s="10">
        <v>9128025</v>
      </c>
      <c r="S11" s="10">
        <v>11854466</v>
      </c>
      <c r="T11" s="10">
        <v>675385</v>
      </c>
      <c r="U11" s="10">
        <v>1046619</v>
      </c>
      <c r="V11" s="10">
        <v>178732748</v>
      </c>
      <c r="W11" s="10">
        <v>259683489</v>
      </c>
      <c r="X11" s="10">
        <v>140504577</v>
      </c>
      <c r="Y11" s="10">
        <v>2195367</v>
      </c>
      <c r="Z11" s="10">
        <v>64019640</v>
      </c>
      <c r="AA11" s="10">
        <v>2625521</v>
      </c>
      <c r="AB11" s="10">
        <v>33643521</v>
      </c>
      <c r="AC11" s="7">
        <v>29693796</v>
      </c>
      <c r="AD11" s="36">
        <v>62731539</v>
      </c>
      <c r="AE11" s="10">
        <v>5044596</v>
      </c>
      <c r="AF11" s="10">
        <v>53564450</v>
      </c>
      <c r="AG11" s="10">
        <v>212894751</v>
      </c>
      <c r="AH11" s="10">
        <v>12084521</v>
      </c>
    </row>
    <row r="12" spans="1:34" ht="15" customHeight="1" x14ac:dyDescent="0.25">
      <c r="A12" s="2" t="s">
        <v>110</v>
      </c>
      <c r="B12" s="10"/>
      <c r="C12" s="10"/>
      <c r="D12" s="10"/>
      <c r="E12" s="10"/>
      <c r="F12" s="10"/>
      <c r="G12" s="10"/>
      <c r="H12" s="10"/>
      <c r="I12" s="10"/>
      <c r="J12" s="10"/>
      <c r="K12" s="10">
        <v>272230.99</v>
      </c>
      <c r="L12" s="10"/>
      <c r="M12" s="10"/>
      <c r="N12" s="10">
        <v>3600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>
        <v>15488</v>
      </c>
      <c r="AC12" s="10"/>
      <c r="AD12" s="10"/>
      <c r="AE12" s="10"/>
      <c r="AF12" s="10">
        <v>3600</v>
      </c>
      <c r="AG12" s="10"/>
      <c r="AH12" s="10"/>
    </row>
    <row r="13" spans="1:34" ht="15" customHeight="1" x14ac:dyDescent="0.25">
      <c r="A13" s="2" t="s">
        <v>111</v>
      </c>
      <c r="B13" s="10"/>
      <c r="C13" s="106">
        <v>1069</v>
      </c>
      <c r="D13" s="10">
        <v>649758</v>
      </c>
      <c r="E13" s="10">
        <v>28062</v>
      </c>
      <c r="F13" s="10">
        <v>71946</v>
      </c>
      <c r="G13" s="10">
        <v>271221</v>
      </c>
      <c r="H13" s="10"/>
      <c r="I13" s="10">
        <v>460</v>
      </c>
      <c r="J13" s="10">
        <v>180</v>
      </c>
      <c r="K13" s="10">
        <v>18324.89</v>
      </c>
      <c r="L13" s="10">
        <v>85188</v>
      </c>
      <c r="M13" s="10">
        <v>1435</v>
      </c>
      <c r="N13" s="10">
        <v>234703</v>
      </c>
      <c r="O13" s="10">
        <f>371164+2329177</f>
        <v>2700341</v>
      </c>
      <c r="P13" s="10">
        <v>264551</v>
      </c>
      <c r="Q13" s="10">
        <v>1043</v>
      </c>
      <c r="R13" s="10">
        <v>13015</v>
      </c>
      <c r="S13" s="10">
        <v>23819</v>
      </c>
      <c r="T13" s="10">
        <v>8496</v>
      </c>
      <c r="U13" s="10">
        <v>13517</v>
      </c>
      <c r="V13" s="10">
        <v>870397</v>
      </c>
      <c r="W13" s="10">
        <v>2129365</v>
      </c>
      <c r="X13" s="10">
        <v>1045788</v>
      </c>
      <c r="Y13" s="10">
        <v>11596</v>
      </c>
      <c r="Z13" s="10"/>
      <c r="AA13" s="10">
        <v>19096</v>
      </c>
      <c r="AB13" s="10">
        <v>57153</v>
      </c>
      <c r="AC13" s="10">
        <v>54966</v>
      </c>
      <c r="AD13" s="36">
        <v>235029</v>
      </c>
      <c r="AE13" s="10">
        <v>78498</v>
      </c>
      <c r="AF13" s="10">
        <v>301866</v>
      </c>
      <c r="AG13" s="10">
        <v>1799749</v>
      </c>
      <c r="AH13" s="10">
        <v>35815</v>
      </c>
    </row>
    <row r="14" spans="1:34" x14ac:dyDescent="0.25">
      <c r="A14" s="2" t="s">
        <v>44</v>
      </c>
      <c r="B14" s="10">
        <f>B15-B13-B12-B11-B10-B9-B8-B7-B6-B5-B4</f>
        <v>613616</v>
      </c>
      <c r="C14" s="10">
        <f t="shared" ref="C14:AH14" si="0">C15-C13-C12-C11-C10-C9-C8-C7-C6-C5-C4</f>
        <v>370255</v>
      </c>
      <c r="D14" s="10">
        <f t="shared" si="0"/>
        <v>16807586</v>
      </c>
      <c r="E14" s="10">
        <f t="shared" si="0"/>
        <v>1915071</v>
      </c>
      <c r="F14" s="10">
        <f t="shared" si="0"/>
        <v>3340474</v>
      </c>
      <c r="G14" s="10">
        <f t="shared" si="0"/>
        <v>1545472</v>
      </c>
      <c r="H14" s="10">
        <f t="shared" si="0"/>
        <v>1468229</v>
      </c>
      <c r="I14" s="10">
        <f t="shared" si="0"/>
        <v>16393</v>
      </c>
      <c r="J14" s="10">
        <f t="shared" si="0"/>
        <v>81607</v>
      </c>
      <c r="K14" s="10">
        <f t="shared" si="0"/>
        <v>430334.50000000419</v>
      </c>
      <c r="L14" s="10">
        <f t="shared" si="0"/>
        <v>2023008</v>
      </c>
      <c r="M14" s="10">
        <f t="shared" si="0"/>
        <v>829623</v>
      </c>
      <c r="N14" s="10">
        <f t="shared" si="0"/>
        <v>155875</v>
      </c>
      <c r="O14" s="10">
        <f t="shared" si="0"/>
        <v>2829259</v>
      </c>
      <c r="P14" s="10">
        <f t="shared" si="0"/>
        <v>1163021</v>
      </c>
      <c r="Q14" s="10">
        <f t="shared" si="0"/>
        <v>296147</v>
      </c>
      <c r="R14" s="10">
        <f t="shared" si="0"/>
        <v>494093</v>
      </c>
      <c r="S14" s="10">
        <f t="shared" si="0"/>
        <v>422510</v>
      </c>
      <c r="T14" s="10">
        <f t="shared" si="0"/>
        <v>705366</v>
      </c>
      <c r="U14" s="10">
        <f t="shared" si="0"/>
        <v>387466</v>
      </c>
      <c r="V14" s="10">
        <f t="shared" si="0"/>
        <v>5714919</v>
      </c>
      <c r="W14" s="10">
        <f t="shared" si="0"/>
        <v>637030</v>
      </c>
      <c r="X14" s="10">
        <f t="shared" si="0"/>
        <v>55862131</v>
      </c>
      <c r="Y14" s="10">
        <f t="shared" si="0"/>
        <v>49530</v>
      </c>
      <c r="Z14" s="10">
        <f t="shared" si="0"/>
        <v>3477573</v>
      </c>
      <c r="AA14" s="10">
        <f t="shared" si="0"/>
        <v>685624</v>
      </c>
      <c r="AB14" s="10">
        <f t="shared" si="0"/>
        <v>148013</v>
      </c>
      <c r="AC14" s="10">
        <f t="shared" si="0"/>
        <v>960812</v>
      </c>
      <c r="AD14" s="10">
        <f t="shared" si="0"/>
        <v>1424285</v>
      </c>
      <c r="AE14" s="10">
        <f>AE15-AE13-AE12-AE11-AE10-AE9-AE8-AE7-AE6-AE5-AE4</f>
        <v>3371731</v>
      </c>
      <c r="AF14" s="10">
        <f t="shared" si="0"/>
        <v>428294</v>
      </c>
      <c r="AG14" s="10">
        <f t="shared" si="0"/>
        <v>1330</v>
      </c>
      <c r="AH14" s="10">
        <f t="shared" si="0"/>
        <v>167964</v>
      </c>
    </row>
    <row r="15" spans="1:34" s="8" customFormat="1" x14ac:dyDescent="0.25">
      <c r="A15" s="3" t="s">
        <v>54</v>
      </c>
      <c r="B15" s="11">
        <v>2443926</v>
      </c>
      <c r="C15" s="11">
        <v>3858322</v>
      </c>
      <c r="D15" s="11">
        <v>127705429</v>
      </c>
      <c r="E15" s="11">
        <v>6744423</v>
      </c>
      <c r="F15" s="11">
        <v>119732192</v>
      </c>
      <c r="G15" s="11">
        <v>39492924</v>
      </c>
      <c r="H15" s="11">
        <v>66194402</v>
      </c>
      <c r="I15" s="11">
        <v>1147466</v>
      </c>
      <c r="J15" s="11">
        <v>1431108</v>
      </c>
      <c r="K15" s="11">
        <v>71871857.810000002</v>
      </c>
      <c r="L15" s="11">
        <v>32949953</v>
      </c>
      <c r="M15" s="11">
        <v>19304079</v>
      </c>
      <c r="N15" s="11">
        <v>89161552</v>
      </c>
      <c r="O15" s="11">
        <v>249798046</v>
      </c>
      <c r="P15" s="11">
        <v>78566033</v>
      </c>
      <c r="Q15" s="11">
        <v>3186599</v>
      </c>
      <c r="R15" s="11">
        <v>15714386</v>
      </c>
      <c r="S15" s="11">
        <v>16456486</v>
      </c>
      <c r="T15" s="11">
        <v>1882717</v>
      </c>
      <c r="U15" s="11">
        <v>3892221</v>
      </c>
      <c r="V15" s="11">
        <v>287319407</v>
      </c>
      <c r="W15" s="11">
        <v>356355473</v>
      </c>
      <c r="X15" s="11">
        <v>262455990</v>
      </c>
      <c r="Y15" s="11">
        <v>2712165</v>
      </c>
      <c r="Z15" s="11">
        <v>94061085</v>
      </c>
      <c r="AA15" s="11">
        <v>6811872</v>
      </c>
      <c r="AB15" s="11">
        <v>43917797</v>
      </c>
      <c r="AC15" s="11">
        <v>47736371</v>
      </c>
      <c r="AD15" s="11">
        <v>69194381</v>
      </c>
      <c r="AE15" s="11">
        <v>12163704</v>
      </c>
      <c r="AF15" s="11">
        <v>83075633</v>
      </c>
      <c r="AG15" s="11">
        <v>265066293</v>
      </c>
      <c r="AH15" s="11">
        <v>19397089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2" bestFit="1" customWidth="1"/>
    <col min="2" max="2" width="12.85546875" style="7" customWidth="1"/>
    <col min="3" max="5" width="12.85546875" style="52" customWidth="1"/>
    <col min="6" max="6" width="12.85546875" style="55" customWidth="1"/>
    <col min="7" max="10" width="12.85546875" style="52" customWidth="1"/>
    <col min="11" max="11" width="12.85546875" style="55" customWidth="1"/>
    <col min="12" max="16" width="12.85546875" style="52" customWidth="1"/>
    <col min="17" max="17" width="12.85546875" style="7" customWidth="1"/>
    <col min="18" max="20" width="12.85546875" style="52" customWidth="1"/>
    <col min="21" max="21" width="12.85546875" style="55" customWidth="1"/>
    <col min="22" max="22" width="12.85546875" style="7" customWidth="1"/>
    <col min="23" max="25" width="12.85546875" style="52" customWidth="1"/>
    <col min="26" max="26" width="12.85546875" style="55" customWidth="1"/>
    <col min="27" max="27" width="12.85546875" style="7" customWidth="1"/>
    <col min="28" max="30" width="12.85546875" style="52" customWidth="1"/>
    <col min="31" max="31" width="12.85546875" style="55" customWidth="1"/>
    <col min="32" max="32" width="12.85546875" style="7" customWidth="1"/>
    <col min="33" max="35" width="12.85546875" style="52" customWidth="1"/>
    <col min="36" max="36" width="12.85546875" style="55" customWidth="1"/>
    <col min="37" max="40" width="12.85546875" style="52" customWidth="1"/>
    <col min="41" max="41" width="12.85546875" style="55" customWidth="1"/>
    <col min="42" max="42" width="12.85546875" style="7" customWidth="1"/>
    <col min="43" max="45" width="12.85546875" style="52" customWidth="1"/>
    <col min="46" max="46" width="12.85546875" style="55" customWidth="1"/>
    <col min="47" max="47" width="12.85546875" style="7" customWidth="1"/>
    <col min="48" max="50" width="12.85546875" style="52" customWidth="1"/>
    <col min="51" max="51" width="12.85546875" style="55" customWidth="1"/>
    <col min="52" max="52" width="12.85546875" style="7" customWidth="1"/>
    <col min="53" max="55" width="12.85546875" style="52" customWidth="1"/>
    <col min="56" max="56" width="12.85546875" style="55" customWidth="1"/>
    <col min="57" max="57" width="12.85546875" style="7" customWidth="1"/>
    <col min="58" max="60" width="12.85546875" style="52" customWidth="1"/>
    <col min="61" max="61" width="12.85546875" style="55" customWidth="1"/>
    <col min="62" max="62" width="12.85546875" style="7" customWidth="1"/>
    <col min="63" max="65" width="12.85546875" style="52" customWidth="1"/>
    <col min="66" max="66" width="12.85546875" style="55" customWidth="1"/>
    <col min="67" max="67" width="12.85546875" style="7" customWidth="1"/>
    <col min="68" max="70" width="12.85546875" style="52" customWidth="1"/>
    <col min="71" max="71" width="12.85546875" style="55" customWidth="1"/>
    <col min="72" max="72" width="12.85546875" style="7" customWidth="1"/>
    <col min="73" max="75" width="12.85546875" style="52" customWidth="1"/>
    <col min="76" max="76" width="12.85546875" style="55" customWidth="1"/>
    <col min="77" max="77" width="12.85546875" style="7" customWidth="1"/>
    <col min="78" max="80" width="12.85546875" style="52" customWidth="1"/>
    <col min="81" max="81" width="12.85546875" style="55" customWidth="1"/>
    <col min="82" max="82" width="12.85546875" style="7" customWidth="1"/>
    <col min="83" max="85" width="12.85546875" style="52" customWidth="1"/>
    <col min="86" max="86" width="12.85546875" style="55" customWidth="1"/>
    <col min="87" max="90" width="12.85546875" style="52" customWidth="1"/>
    <col min="91" max="91" width="12.85546875" style="55" customWidth="1"/>
    <col min="92" max="92" width="12.85546875" style="7" customWidth="1"/>
    <col min="93" max="95" width="12.85546875" style="52" customWidth="1"/>
    <col min="96" max="96" width="12.85546875" style="55" customWidth="1"/>
    <col min="97" max="97" width="12.85546875" style="7" customWidth="1"/>
    <col min="98" max="100" width="12.85546875" style="52" customWidth="1"/>
    <col min="101" max="101" width="12.85546875" style="91" customWidth="1"/>
    <col min="102" max="106" width="12.85546875" style="52" customWidth="1"/>
    <col min="107" max="107" width="12.85546875" style="7" customWidth="1"/>
    <col min="108" max="110" width="12.85546875" style="52" customWidth="1"/>
    <col min="111" max="111" width="12.85546875" style="55" customWidth="1"/>
    <col min="112" max="112" width="12.85546875" style="52" customWidth="1"/>
    <col min="113" max="115" width="12.85546875" style="7" customWidth="1"/>
    <col min="116" max="116" width="12.85546875" style="55" customWidth="1"/>
    <col min="117" max="117" width="12.85546875" style="7" customWidth="1"/>
    <col min="118" max="120" width="12.85546875" style="52" customWidth="1"/>
    <col min="121" max="121" width="12.85546875" style="55" customWidth="1"/>
    <col min="122" max="122" width="12.85546875" style="7" customWidth="1"/>
    <col min="123" max="125" width="12.85546875" style="52" customWidth="1"/>
    <col min="126" max="126" width="12.85546875" style="55" customWidth="1"/>
    <col min="127" max="127" width="12.85546875" style="7" customWidth="1"/>
    <col min="128" max="130" width="12.85546875" style="52" customWidth="1"/>
    <col min="131" max="131" width="12.85546875" style="55" customWidth="1"/>
    <col min="132" max="132" width="12.85546875" style="7" customWidth="1"/>
    <col min="133" max="135" width="12.85546875" style="52" customWidth="1"/>
    <col min="136" max="136" width="12.85546875" style="55" customWidth="1"/>
    <col min="137" max="137" width="12.85546875" style="7" customWidth="1"/>
    <col min="138" max="140" width="12.85546875" style="52" customWidth="1"/>
    <col min="141" max="141" width="12.85546875" style="55" customWidth="1"/>
    <col min="142" max="142" width="12.85546875" style="7" customWidth="1"/>
    <col min="143" max="145" width="12.85546875" style="52" customWidth="1"/>
    <col min="146" max="146" width="12.85546875" style="55" customWidth="1"/>
    <col min="147" max="150" width="12.85546875" style="52" customWidth="1"/>
    <col min="151" max="151" width="12.85546875" style="55" customWidth="1"/>
    <col min="152" max="152" width="12.85546875" style="7" customWidth="1"/>
    <col min="153" max="155" width="12.85546875" style="52" customWidth="1"/>
    <col min="156" max="156" width="12.85546875" style="55" customWidth="1"/>
    <col min="157" max="162" width="12.85546875" style="52" customWidth="1"/>
    <col min="163" max="163" width="12.85546875" style="7" customWidth="1"/>
    <col min="164" max="165" width="12.85546875" style="52" customWidth="1"/>
    <col min="166" max="166" width="12.85546875" style="55" customWidth="1"/>
    <col min="167" max="16384" width="9.140625" style="52"/>
  </cols>
  <sheetData>
    <row r="1" spans="1:166" ht="34.5" x14ac:dyDescent="0.25">
      <c r="A1" s="64" t="s">
        <v>284</v>
      </c>
    </row>
    <row r="2" spans="1:166" x14ac:dyDescent="0.25">
      <c r="A2" s="53" t="s">
        <v>0</v>
      </c>
      <c r="B2" s="119" t="s">
        <v>1</v>
      </c>
      <c r="C2" s="119"/>
      <c r="D2" s="119"/>
      <c r="E2" s="119"/>
      <c r="F2" s="119"/>
      <c r="G2" s="119" t="s">
        <v>2</v>
      </c>
      <c r="H2" s="119"/>
      <c r="I2" s="119"/>
      <c r="J2" s="119"/>
      <c r="K2" s="119"/>
      <c r="L2" s="119" t="s">
        <v>3</v>
      </c>
      <c r="M2" s="119"/>
      <c r="N2" s="119"/>
      <c r="O2" s="119"/>
      <c r="P2" s="119"/>
      <c r="Q2" s="119" t="s">
        <v>295</v>
      </c>
      <c r="R2" s="119"/>
      <c r="S2" s="119"/>
      <c r="T2" s="119"/>
      <c r="U2" s="119"/>
      <c r="V2" s="119" t="s">
        <v>5</v>
      </c>
      <c r="W2" s="119"/>
      <c r="X2" s="119"/>
      <c r="Y2" s="119"/>
      <c r="Z2" s="119"/>
      <c r="AA2" s="119" t="s">
        <v>6</v>
      </c>
      <c r="AB2" s="119"/>
      <c r="AC2" s="119"/>
      <c r="AD2" s="119"/>
      <c r="AE2" s="119"/>
      <c r="AF2" s="119" t="s">
        <v>7</v>
      </c>
      <c r="AG2" s="119"/>
      <c r="AH2" s="119"/>
      <c r="AI2" s="119"/>
      <c r="AJ2" s="119"/>
      <c r="AK2" s="119" t="s">
        <v>309</v>
      </c>
      <c r="AL2" s="119"/>
      <c r="AM2" s="119"/>
      <c r="AN2" s="119"/>
      <c r="AO2" s="119"/>
      <c r="AP2" s="119" t="s">
        <v>9</v>
      </c>
      <c r="AQ2" s="119"/>
      <c r="AR2" s="119"/>
      <c r="AS2" s="119"/>
      <c r="AT2" s="119"/>
      <c r="AU2" s="119" t="s">
        <v>10</v>
      </c>
      <c r="AV2" s="119"/>
      <c r="AW2" s="119"/>
      <c r="AX2" s="119"/>
      <c r="AY2" s="119"/>
      <c r="AZ2" s="119" t="s">
        <v>11</v>
      </c>
      <c r="BA2" s="119"/>
      <c r="BB2" s="119"/>
      <c r="BC2" s="119"/>
      <c r="BD2" s="119"/>
      <c r="BE2" s="119" t="s">
        <v>12</v>
      </c>
      <c r="BF2" s="119"/>
      <c r="BG2" s="119"/>
      <c r="BH2" s="119"/>
      <c r="BI2" s="119"/>
      <c r="BJ2" s="119" t="s">
        <v>13</v>
      </c>
      <c r="BK2" s="119"/>
      <c r="BL2" s="119"/>
      <c r="BM2" s="119"/>
      <c r="BN2" s="119"/>
      <c r="BO2" s="119" t="s">
        <v>14</v>
      </c>
      <c r="BP2" s="119"/>
      <c r="BQ2" s="119"/>
      <c r="BR2" s="119"/>
      <c r="BS2" s="119"/>
      <c r="BT2" s="119" t="s">
        <v>15</v>
      </c>
      <c r="BU2" s="119"/>
      <c r="BV2" s="119"/>
      <c r="BW2" s="119"/>
      <c r="BX2" s="119"/>
      <c r="BY2" s="119" t="s">
        <v>16</v>
      </c>
      <c r="BZ2" s="119"/>
      <c r="CA2" s="119"/>
      <c r="CB2" s="119"/>
      <c r="CC2" s="119"/>
      <c r="CD2" s="119" t="s">
        <v>17</v>
      </c>
      <c r="CE2" s="119"/>
      <c r="CF2" s="119"/>
      <c r="CG2" s="119"/>
      <c r="CH2" s="119"/>
      <c r="CI2" s="119" t="s">
        <v>18</v>
      </c>
      <c r="CJ2" s="119"/>
      <c r="CK2" s="119"/>
      <c r="CL2" s="119"/>
      <c r="CM2" s="119"/>
      <c r="CN2" s="119" t="s">
        <v>293</v>
      </c>
      <c r="CO2" s="119"/>
      <c r="CP2" s="119"/>
      <c r="CQ2" s="119"/>
      <c r="CR2" s="119"/>
      <c r="CS2" s="119" t="s">
        <v>19</v>
      </c>
      <c r="CT2" s="119"/>
      <c r="CU2" s="119"/>
      <c r="CV2" s="119"/>
      <c r="CW2" s="119"/>
      <c r="CX2" s="119" t="s">
        <v>20</v>
      </c>
      <c r="CY2" s="119"/>
      <c r="CZ2" s="119"/>
      <c r="DA2" s="119"/>
      <c r="DB2" s="119"/>
      <c r="DC2" s="119" t="s">
        <v>21</v>
      </c>
      <c r="DD2" s="119"/>
      <c r="DE2" s="119"/>
      <c r="DF2" s="119"/>
      <c r="DG2" s="119"/>
      <c r="DH2" s="119" t="s">
        <v>22</v>
      </c>
      <c r="DI2" s="119"/>
      <c r="DJ2" s="119"/>
      <c r="DK2" s="119"/>
      <c r="DL2" s="119"/>
      <c r="DM2" s="119" t="s">
        <v>23</v>
      </c>
      <c r="DN2" s="119"/>
      <c r="DO2" s="119"/>
      <c r="DP2" s="119"/>
      <c r="DQ2" s="119"/>
      <c r="DR2" s="119" t="s">
        <v>24</v>
      </c>
      <c r="DS2" s="119"/>
      <c r="DT2" s="119"/>
      <c r="DU2" s="119"/>
      <c r="DV2" s="119"/>
      <c r="DW2" s="119" t="s">
        <v>25</v>
      </c>
      <c r="DX2" s="119"/>
      <c r="DY2" s="119"/>
      <c r="DZ2" s="119"/>
      <c r="EA2" s="119"/>
      <c r="EB2" s="119" t="s">
        <v>26</v>
      </c>
      <c r="EC2" s="119"/>
      <c r="ED2" s="119"/>
      <c r="EE2" s="119"/>
      <c r="EF2" s="119"/>
      <c r="EG2" s="119" t="s">
        <v>27</v>
      </c>
      <c r="EH2" s="119"/>
      <c r="EI2" s="119"/>
      <c r="EJ2" s="119"/>
      <c r="EK2" s="119"/>
      <c r="EL2" s="119" t="s">
        <v>28</v>
      </c>
      <c r="EM2" s="119"/>
      <c r="EN2" s="119"/>
      <c r="EO2" s="119"/>
      <c r="EP2" s="119"/>
      <c r="EQ2" s="119" t="s">
        <v>29</v>
      </c>
      <c r="ER2" s="119"/>
      <c r="ES2" s="119"/>
      <c r="ET2" s="119"/>
      <c r="EU2" s="119"/>
      <c r="EV2" s="119" t="s">
        <v>30</v>
      </c>
      <c r="EW2" s="119"/>
      <c r="EX2" s="119"/>
      <c r="EY2" s="119"/>
      <c r="EZ2" s="119"/>
      <c r="FA2" s="119" t="s">
        <v>31</v>
      </c>
      <c r="FB2" s="119"/>
      <c r="FC2" s="119"/>
      <c r="FD2" s="119"/>
      <c r="FE2" s="119"/>
      <c r="FF2" s="119" t="s">
        <v>32</v>
      </c>
      <c r="FG2" s="119"/>
      <c r="FH2" s="119"/>
      <c r="FI2" s="119"/>
      <c r="FJ2" s="119"/>
    </row>
    <row r="3" spans="1:166" ht="15" customHeight="1" x14ac:dyDescent="0.25">
      <c r="A3" s="121" t="s">
        <v>180</v>
      </c>
      <c r="B3" s="120" t="s">
        <v>174</v>
      </c>
      <c r="C3" s="121" t="s">
        <v>175</v>
      </c>
      <c r="D3" s="121"/>
      <c r="E3" s="121"/>
      <c r="F3" s="122" t="s">
        <v>176</v>
      </c>
      <c r="G3" s="121" t="s">
        <v>174</v>
      </c>
      <c r="H3" s="121" t="s">
        <v>175</v>
      </c>
      <c r="I3" s="121"/>
      <c r="J3" s="121"/>
      <c r="K3" s="122" t="s">
        <v>176</v>
      </c>
      <c r="L3" s="121" t="s">
        <v>174</v>
      </c>
      <c r="M3" s="121" t="s">
        <v>175</v>
      </c>
      <c r="N3" s="121"/>
      <c r="O3" s="121"/>
      <c r="P3" s="121" t="s">
        <v>176</v>
      </c>
      <c r="Q3" s="120" t="s">
        <v>174</v>
      </c>
      <c r="R3" s="121" t="s">
        <v>175</v>
      </c>
      <c r="S3" s="121"/>
      <c r="T3" s="121"/>
      <c r="U3" s="122" t="s">
        <v>176</v>
      </c>
      <c r="V3" s="120" t="s">
        <v>174</v>
      </c>
      <c r="W3" s="121" t="s">
        <v>175</v>
      </c>
      <c r="X3" s="121"/>
      <c r="Y3" s="121"/>
      <c r="Z3" s="122" t="s">
        <v>176</v>
      </c>
      <c r="AA3" s="120" t="s">
        <v>174</v>
      </c>
      <c r="AB3" s="121" t="s">
        <v>175</v>
      </c>
      <c r="AC3" s="121"/>
      <c r="AD3" s="121"/>
      <c r="AE3" s="122" t="s">
        <v>176</v>
      </c>
      <c r="AF3" s="120" t="s">
        <v>174</v>
      </c>
      <c r="AG3" s="121" t="s">
        <v>175</v>
      </c>
      <c r="AH3" s="121"/>
      <c r="AI3" s="121"/>
      <c r="AJ3" s="122" t="s">
        <v>176</v>
      </c>
      <c r="AK3" s="121" t="s">
        <v>174</v>
      </c>
      <c r="AL3" s="121" t="s">
        <v>175</v>
      </c>
      <c r="AM3" s="121"/>
      <c r="AN3" s="121"/>
      <c r="AO3" s="122" t="s">
        <v>176</v>
      </c>
      <c r="AP3" s="120" t="s">
        <v>174</v>
      </c>
      <c r="AQ3" s="121" t="s">
        <v>175</v>
      </c>
      <c r="AR3" s="121"/>
      <c r="AS3" s="121"/>
      <c r="AT3" s="122" t="s">
        <v>176</v>
      </c>
      <c r="AU3" s="120" t="s">
        <v>174</v>
      </c>
      <c r="AV3" s="121" t="s">
        <v>175</v>
      </c>
      <c r="AW3" s="121"/>
      <c r="AX3" s="121"/>
      <c r="AY3" s="122" t="s">
        <v>176</v>
      </c>
      <c r="AZ3" s="120" t="s">
        <v>174</v>
      </c>
      <c r="BA3" s="121" t="s">
        <v>175</v>
      </c>
      <c r="BB3" s="121"/>
      <c r="BC3" s="121"/>
      <c r="BD3" s="122" t="s">
        <v>176</v>
      </c>
      <c r="BE3" s="120" t="s">
        <v>174</v>
      </c>
      <c r="BF3" s="121" t="s">
        <v>175</v>
      </c>
      <c r="BG3" s="121"/>
      <c r="BH3" s="121"/>
      <c r="BI3" s="122" t="s">
        <v>176</v>
      </c>
      <c r="BJ3" s="120" t="s">
        <v>174</v>
      </c>
      <c r="BK3" s="121" t="s">
        <v>175</v>
      </c>
      <c r="BL3" s="121"/>
      <c r="BM3" s="121"/>
      <c r="BN3" s="122" t="s">
        <v>176</v>
      </c>
      <c r="BO3" s="120" t="s">
        <v>174</v>
      </c>
      <c r="BP3" s="121" t="s">
        <v>175</v>
      </c>
      <c r="BQ3" s="121"/>
      <c r="BR3" s="121"/>
      <c r="BS3" s="122" t="s">
        <v>176</v>
      </c>
      <c r="BT3" s="120" t="s">
        <v>174</v>
      </c>
      <c r="BU3" s="121" t="s">
        <v>175</v>
      </c>
      <c r="BV3" s="121"/>
      <c r="BW3" s="121"/>
      <c r="BX3" s="122" t="s">
        <v>176</v>
      </c>
      <c r="BY3" s="120" t="s">
        <v>174</v>
      </c>
      <c r="BZ3" s="121" t="s">
        <v>175</v>
      </c>
      <c r="CA3" s="121"/>
      <c r="CB3" s="121"/>
      <c r="CC3" s="122" t="s">
        <v>176</v>
      </c>
      <c r="CD3" s="120" t="s">
        <v>174</v>
      </c>
      <c r="CE3" s="121" t="s">
        <v>175</v>
      </c>
      <c r="CF3" s="121"/>
      <c r="CG3" s="121"/>
      <c r="CH3" s="122" t="s">
        <v>176</v>
      </c>
      <c r="CI3" s="121" t="s">
        <v>174</v>
      </c>
      <c r="CJ3" s="121" t="s">
        <v>175</v>
      </c>
      <c r="CK3" s="121"/>
      <c r="CL3" s="121"/>
      <c r="CM3" s="122" t="s">
        <v>176</v>
      </c>
      <c r="CN3" s="120" t="s">
        <v>174</v>
      </c>
      <c r="CO3" s="121" t="s">
        <v>175</v>
      </c>
      <c r="CP3" s="121"/>
      <c r="CQ3" s="121"/>
      <c r="CR3" s="122" t="s">
        <v>176</v>
      </c>
      <c r="CS3" s="120" t="s">
        <v>174</v>
      </c>
      <c r="CT3" s="121" t="s">
        <v>175</v>
      </c>
      <c r="CU3" s="121"/>
      <c r="CV3" s="121"/>
      <c r="CW3" s="124" t="s">
        <v>176</v>
      </c>
      <c r="CX3" s="121" t="s">
        <v>174</v>
      </c>
      <c r="CY3" s="121" t="s">
        <v>175</v>
      </c>
      <c r="CZ3" s="121"/>
      <c r="DA3" s="121"/>
      <c r="DB3" s="123" t="s">
        <v>176</v>
      </c>
      <c r="DC3" s="120" t="s">
        <v>174</v>
      </c>
      <c r="DD3" s="121" t="s">
        <v>175</v>
      </c>
      <c r="DE3" s="121"/>
      <c r="DF3" s="121"/>
      <c r="DG3" s="122" t="s">
        <v>176</v>
      </c>
      <c r="DH3" s="121" t="s">
        <v>174</v>
      </c>
      <c r="DI3" s="120" t="s">
        <v>175</v>
      </c>
      <c r="DJ3" s="120"/>
      <c r="DK3" s="120"/>
      <c r="DL3" s="122" t="s">
        <v>176</v>
      </c>
      <c r="DM3" s="120" t="s">
        <v>174</v>
      </c>
      <c r="DN3" s="121" t="s">
        <v>175</v>
      </c>
      <c r="DO3" s="121"/>
      <c r="DP3" s="121"/>
      <c r="DQ3" s="122" t="s">
        <v>176</v>
      </c>
      <c r="DR3" s="120" t="s">
        <v>174</v>
      </c>
      <c r="DS3" s="121" t="s">
        <v>175</v>
      </c>
      <c r="DT3" s="121"/>
      <c r="DU3" s="121"/>
      <c r="DV3" s="122" t="s">
        <v>176</v>
      </c>
      <c r="DW3" s="120" t="s">
        <v>174</v>
      </c>
      <c r="DX3" s="121" t="s">
        <v>175</v>
      </c>
      <c r="DY3" s="121"/>
      <c r="DZ3" s="121"/>
      <c r="EA3" s="122" t="s">
        <v>176</v>
      </c>
      <c r="EB3" s="120" t="s">
        <v>174</v>
      </c>
      <c r="EC3" s="121" t="s">
        <v>175</v>
      </c>
      <c r="ED3" s="121"/>
      <c r="EE3" s="121"/>
      <c r="EF3" s="122" t="s">
        <v>176</v>
      </c>
      <c r="EG3" s="120" t="s">
        <v>174</v>
      </c>
      <c r="EH3" s="121" t="s">
        <v>175</v>
      </c>
      <c r="EI3" s="121"/>
      <c r="EJ3" s="121"/>
      <c r="EK3" s="122" t="s">
        <v>176</v>
      </c>
      <c r="EL3" s="120" t="s">
        <v>174</v>
      </c>
      <c r="EM3" s="121" t="s">
        <v>175</v>
      </c>
      <c r="EN3" s="121"/>
      <c r="EO3" s="121"/>
      <c r="EP3" s="122" t="s">
        <v>176</v>
      </c>
      <c r="EQ3" s="121" t="s">
        <v>174</v>
      </c>
      <c r="ER3" s="121" t="s">
        <v>175</v>
      </c>
      <c r="ES3" s="121"/>
      <c r="ET3" s="121"/>
      <c r="EU3" s="122" t="s">
        <v>176</v>
      </c>
      <c r="EV3" s="120" t="s">
        <v>174</v>
      </c>
      <c r="EW3" s="121" t="s">
        <v>175</v>
      </c>
      <c r="EX3" s="121"/>
      <c r="EY3" s="121"/>
      <c r="EZ3" s="122" t="s">
        <v>176</v>
      </c>
      <c r="FA3" s="121" t="s">
        <v>174</v>
      </c>
      <c r="FB3" s="121" t="s">
        <v>175</v>
      </c>
      <c r="FC3" s="121"/>
      <c r="FD3" s="121"/>
      <c r="FE3" s="123" t="s">
        <v>176</v>
      </c>
      <c r="FF3" s="121" t="s">
        <v>174</v>
      </c>
      <c r="FG3" s="121" t="s">
        <v>175</v>
      </c>
      <c r="FH3" s="121"/>
      <c r="FI3" s="121"/>
      <c r="FJ3" s="122" t="s">
        <v>176</v>
      </c>
    </row>
    <row r="4" spans="1:166" ht="30" x14ac:dyDescent="0.25">
      <c r="A4" s="121"/>
      <c r="B4" s="120"/>
      <c r="C4" s="22" t="s">
        <v>177</v>
      </c>
      <c r="D4" s="22" t="s">
        <v>178</v>
      </c>
      <c r="E4" s="22" t="s">
        <v>179</v>
      </c>
      <c r="F4" s="122"/>
      <c r="G4" s="121"/>
      <c r="H4" s="22" t="s">
        <v>177</v>
      </c>
      <c r="I4" s="22" t="s">
        <v>178</v>
      </c>
      <c r="J4" s="22" t="s">
        <v>179</v>
      </c>
      <c r="K4" s="122"/>
      <c r="L4" s="121"/>
      <c r="M4" s="22" t="s">
        <v>177</v>
      </c>
      <c r="N4" s="22" t="s">
        <v>178</v>
      </c>
      <c r="O4" s="22" t="s">
        <v>179</v>
      </c>
      <c r="P4" s="121"/>
      <c r="Q4" s="120"/>
      <c r="R4" s="22" t="s">
        <v>177</v>
      </c>
      <c r="S4" s="22" t="s">
        <v>178</v>
      </c>
      <c r="T4" s="22" t="s">
        <v>179</v>
      </c>
      <c r="U4" s="122"/>
      <c r="V4" s="120"/>
      <c r="W4" s="22" t="s">
        <v>177</v>
      </c>
      <c r="X4" s="22" t="s">
        <v>178</v>
      </c>
      <c r="Y4" s="22" t="s">
        <v>179</v>
      </c>
      <c r="Z4" s="122"/>
      <c r="AA4" s="120"/>
      <c r="AB4" s="22" t="s">
        <v>177</v>
      </c>
      <c r="AC4" s="22" t="s">
        <v>178</v>
      </c>
      <c r="AD4" s="22" t="s">
        <v>179</v>
      </c>
      <c r="AE4" s="122"/>
      <c r="AF4" s="120"/>
      <c r="AG4" s="22" t="s">
        <v>177</v>
      </c>
      <c r="AH4" s="22" t="s">
        <v>178</v>
      </c>
      <c r="AI4" s="22" t="s">
        <v>179</v>
      </c>
      <c r="AJ4" s="122"/>
      <c r="AK4" s="121"/>
      <c r="AL4" s="22" t="s">
        <v>177</v>
      </c>
      <c r="AM4" s="22" t="s">
        <v>178</v>
      </c>
      <c r="AN4" s="22" t="s">
        <v>179</v>
      </c>
      <c r="AO4" s="122"/>
      <c r="AP4" s="120"/>
      <c r="AQ4" s="22" t="s">
        <v>177</v>
      </c>
      <c r="AR4" s="22" t="s">
        <v>178</v>
      </c>
      <c r="AS4" s="22" t="s">
        <v>179</v>
      </c>
      <c r="AT4" s="122"/>
      <c r="AU4" s="120"/>
      <c r="AV4" s="22" t="s">
        <v>177</v>
      </c>
      <c r="AW4" s="22" t="s">
        <v>178</v>
      </c>
      <c r="AX4" s="22" t="s">
        <v>179</v>
      </c>
      <c r="AY4" s="122"/>
      <c r="AZ4" s="120"/>
      <c r="BA4" s="22" t="s">
        <v>177</v>
      </c>
      <c r="BB4" s="22" t="s">
        <v>178</v>
      </c>
      <c r="BC4" s="22" t="s">
        <v>179</v>
      </c>
      <c r="BD4" s="122"/>
      <c r="BE4" s="120"/>
      <c r="BF4" s="22" t="s">
        <v>177</v>
      </c>
      <c r="BG4" s="22" t="s">
        <v>178</v>
      </c>
      <c r="BH4" s="22" t="s">
        <v>179</v>
      </c>
      <c r="BI4" s="122"/>
      <c r="BJ4" s="120"/>
      <c r="BK4" s="22" t="s">
        <v>177</v>
      </c>
      <c r="BL4" s="22" t="s">
        <v>178</v>
      </c>
      <c r="BM4" s="22" t="s">
        <v>179</v>
      </c>
      <c r="BN4" s="122"/>
      <c r="BO4" s="120"/>
      <c r="BP4" s="22" t="s">
        <v>177</v>
      </c>
      <c r="BQ4" s="22" t="s">
        <v>178</v>
      </c>
      <c r="BR4" s="22" t="s">
        <v>179</v>
      </c>
      <c r="BS4" s="122"/>
      <c r="BT4" s="120"/>
      <c r="BU4" s="22" t="s">
        <v>177</v>
      </c>
      <c r="BV4" s="22" t="s">
        <v>178</v>
      </c>
      <c r="BW4" s="22" t="s">
        <v>179</v>
      </c>
      <c r="BX4" s="122"/>
      <c r="BY4" s="120"/>
      <c r="BZ4" s="22" t="s">
        <v>177</v>
      </c>
      <c r="CA4" s="22" t="s">
        <v>178</v>
      </c>
      <c r="CB4" s="22" t="s">
        <v>179</v>
      </c>
      <c r="CC4" s="122"/>
      <c r="CD4" s="120"/>
      <c r="CE4" s="22" t="s">
        <v>177</v>
      </c>
      <c r="CF4" s="22" t="s">
        <v>178</v>
      </c>
      <c r="CG4" s="22" t="s">
        <v>179</v>
      </c>
      <c r="CH4" s="122"/>
      <c r="CI4" s="121"/>
      <c r="CJ4" s="22" t="s">
        <v>177</v>
      </c>
      <c r="CK4" s="22" t="s">
        <v>178</v>
      </c>
      <c r="CL4" s="22" t="s">
        <v>179</v>
      </c>
      <c r="CM4" s="122"/>
      <c r="CN4" s="120"/>
      <c r="CO4" s="22" t="s">
        <v>177</v>
      </c>
      <c r="CP4" s="22" t="s">
        <v>178</v>
      </c>
      <c r="CQ4" s="22" t="s">
        <v>179</v>
      </c>
      <c r="CR4" s="122"/>
      <c r="CS4" s="120"/>
      <c r="CT4" s="22" t="s">
        <v>177</v>
      </c>
      <c r="CU4" s="22" t="s">
        <v>178</v>
      </c>
      <c r="CV4" s="22" t="s">
        <v>179</v>
      </c>
      <c r="CW4" s="124"/>
      <c r="CX4" s="121"/>
      <c r="CY4" s="22" t="s">
        <v>177</v>
      </c>
      <c r="CZ4" s="22" t="s">
        <v>178</v>
      </c>
      <c r="DA4" s="22" t="s">
        <v>179</v>
      </c>
      <c r="DB4" s="123"/>
      <c r="DC4" s="120"/>
      <c r="DD4" s="22" t="s">
        <v>177</v>
      </c>
      <c r="DE4" s="22" t="s">
        <v>178</v>
      </c>
      <c r="DF4" s="22" t="s">
        <v>179</v>
      </c>
      <c r="DG4" s="122"/>
      <c r="DH4" s="121"/>
      <c r="DI4" s="75" t="s">
        <v>177</v>
      </c>
      <c r="DJ4" s="75" t="s">
        <v>178</v>
      </c>
      <c r="DK4" s="75" t="s">
        <v>179</v>
      </c>
      <c r="DL4" s="122"/>
      <c r="DM4" s="120"/>
      <c r="DN4" s="22" t="s">
        <v>177</v>
      </c>
      <c r="DO4" s="22" t="s">
        <v>178</v>
      </c>
      <c r="DP4" s="22" t="s">
        <v>179</v>
      </c>
      <c r="DQ4" s="122"/>
      <c r="DR4" s="120"/>
      <c r="DS4" s="22" t="s">
        <v>177</v>
      </c>
      <c r="DT4" s="22" t="s">
        <v>178</v>
      </c>
      <c r="DU4" s="22" t="s">
        <v>179</v>
      </c>
      <c r="DV4" s="122"/>
      <c r="DW4" s="120"/>
      <c r="DX4" s="22" t="s">
        <v>177</v>
      </c>
      <c r="DY4" s="22" t="s">
        <v>178</v>
      </c>
      <c r="DZ4" s="22" t="s">
        <v>179</v>
      </c>
      <c r="EA4" s="122"/>
      <c r="EB4" s="120"/>
      <c r="EC4" s="22" t="s">
        <v>177</v>
      </c>
      <c r="ED4" s="22" t="s">
        <v>178</v>
      </c>
      <c r="EE4" s="22" t="s">
        <v>179</v>
      </c>
      <c r="EF4" s="122"/>
      <c r="EG4" s="120"/>
      <c r="EH4" s="22" t="s">
        <v>177</v>
      </c>
      <c r="EI4" s="22" t="s">
        <v>178</v>
      </c>
      <c r="EJ4" s="22" t="s">
        <v>179</v>
      </c>
      <c r="EK4" s="122"/>
      <c r="EL4" s="120"/>
      <c r="EM4" s="22" t="s">
        <v>177</v>
      </c>
      <c r="EN4" s="22" t="s">
        <v>178</v>
      </c>
      <c r="EO4" s="22" t="s">
        <v>179</v>
      </c>
      <c r="EP4" s="122"/>
      <c r="EQ4" s="121"/>
      <c r="ER4" s="22" t="s">
        <v>177</v>
      </c>
      <c r="ES4" s="22" t="s">
        <v>178</v>
      </c>
      <c r="ET4" s="22" t="s">
        <v>179</v>
      </c>
      <c r="EU4" s="122"/>
      <c r="EV4" s="120"/>
      <c r="EW4" s="22" t="s">
        <v>177</v>
      </c>
      <c r="EX4" s="22" t="s">
        <v>178</v>
      </c>
      <c r="EY4" s="22" t="s">
        <v>179</v>
      </c>
      <c r="EZ4" s="122"/>
      <c r="FA4" s="121"/>
      <c r="FB4" s="22" t="s">
        <v>177</v>
      </c>
      <c r="FC4" s="22" t="s">
        <v>178</v>
      </c>
      <c r="FD4" s="22" t="s">
        <v>179</v>
      </c>
      <c r="FE4" s="123"/>
      <c r="FF4" s="121"/>
      <c r="FG4" s="75" t="s">
        <v>177</v>
      </c>
      <c r="FH4" s="22" t="s">
        <v>178</v>
      </c>
      <c r="FI4" s="22" t="s">
        <v>179</v>
      </c>
      <c r="FJ4" s="122"/>
    </row>
    <row r="5" spans="1:166" x14ac:dyDescent="0.25">
      <c r="A5" s="23" t="s">
        <v>181</v>
      </c>
      <c r="B5" s="10"/>
      <c r="C5" s="23"/>
      <c r="D5" s="23"/>
      <c r="E5" s="23"/>
      <c r="F5" s="49"/>
      <c r="G5" s="23"/>
      <c r="H5" s="23"/>
      <c r="I5" s="23"/>
      <c r="J5" s="23"/>
      <c r="K5" s="49"/>
      <c r="L5" s="23"/>
      <c r="M5" s="23"/>
      <c r="N5" s="23"/>
      <c r="O5" s="23"/>
      <c r="P5" s="23"/>
      <c r="Q5" s="10"/>
      <c r="R5" s="23"/>
      <c r="S5" s="23"/>
      <c r="T5" s="23"/>
      <c r="U5" s="49"/>
      <c r="V5" s="10"/>
      <c r="W5" s="23"/>
      <c r="X5" s="23"/>
      <c r="Y5" s="23"/>
      <c r="Z5" s="49"/>
      <c r="AA5" s="10"/>
      <c r="AB5" s="23"/>
      <c r="AC5" s="23"/>
      <c r="AD5" s="23"/>
      <c r="AE5" s="49"/>
      <c r="AF5" s="10"/>
      <c r="AG5" s="23"/>
      <c r="AH5" s="23"/>
      <c r="AI5" s="23"/>
      <c r="AJ5" s="49"/>
      <c r="AK5" s="23"/>
      <c r="AL5" s="23"/>
      <c r="AM5" s="23"/>
      <c r="AN5" s="23"/>
      <c r="AO5" s="49"/>
      <c r="AP5" s="10"/>
      <c r="AQ5" s="23"/>
      <c r="AR5" s="23"/>
      <c r="AS5" s="23"/>
      <c r="AT5" s="49"/>
      <c r="AU5" s="10"/>
      <c r="AV5" s="23"/>
      <c r="AW5" s="23"/>
      <c r="AX5" s="23"/>
      <c r="AY5" s="49"/>
      <c r="AZ5" s="10">
        <v>1</v>
      </c>
      <c r="BA5" s="10">
        <v>1234</v>
      </c>
      <c r="BB5" s="10"/>
      <c r="BC5" s="10"/>
      <c r="BD5" s="49"/>
      <c r="BE5" s="10">
        <v>1</v>
      </c>
      <c r="BF5" s="10"/>
      <c r="BG5" s="10"/>
      <c r="BH5" s="10">
        <v>15</v>
      </c>
      <c r="BI5" s="49">
        <v>2.0000000000000001E-4</v>
      </c>
      <c r="BJ5" s="10"/>
      <c r="BK5" s="23"/>
      <c r="BL5" s="23"/>
      <c r="BM5" s="23"/>
      <c r="BN5" s="49"/>
      <c r="BO5" s="10"/>
      <c r="BP5" s="23"/>
      <c r="BQ5" s="23"/>
      <c r="BR5" s="23"/>
      <c r="BS5" s="49"/>
      <c r="BT5" s="10"/>
      <c r="BU5" s="23"/>
      <c r="BV5" s="23"/>
      <c r="BW5" s="23"/>
      <c r="BX5" s="49"/>
      <c r="BY5" s="10"/>
      <c r="BZ5" s="23"/>
      <c r="CA5" s="23"/>
      <c r="CB5" s="23"/>
      <c r="CC5" s="49"/>
      <c r="CD5" s="10"/>
      <c r="CE5" s="23"/>
      <c r="CF5" s="23"/>
      <c r="CG5" s="23"/>
      <c r="CH5" s="49"/>
      <c r="CI5" s="23"/>
      <c r="CJ5" s="23"/>
      <c r="CK5" s="23"/>
      <c r="CL5" s="23"/>
      <c r="CM5" s="49"/>
      <c r="CN5" s="10">
        <v>1</v>
      </c>
      <c r="CO5" s="23">
        <v>803.33</v>
      </c>
      <c r="CP5" s="23">
        <v>4.7</v>
      </c>
      <c r="CQ5" s="23"/>
      <c r="CR5" s="49">
        <v>0.98850000000000005</v>
      </c>
      <c r="CS5" s="10"/>
      <c r="CT5" s="23"/>
      <c r="CU5" s="23"/>
      <c r="CV5" s="23"/>
      <c r="CW5" s="73"/>
      <c r="CX5" s="23"/>
      <c r="CY5" s="23"/>
      <c r="CZ5" s="23"/>
      <c r="DA5" s="23"/>
      <c r="DB5" s="23"/>
      <c r="DC5" s="10"/>
      <c r="DD5" s="23"/>
      <c r="DE5" s="23"/>
      <c r="DF5" s="23"/>
      <c r="DG5" s="49"/>
      <c r="DH5" s="23"/>
      <c r="DI5" s="10"/>
      <c r="DJ5" s="10"/>
      <c r="DK5" s="10"/>
      <c r="DL5" s="49"/>
      <c r="DM5" s="10"/>
      <c r="DN5" s="23"/>
      <c r="DO5" s="23"/>
      <c r="DP5" s="23"/>
      <c r="DQ5" s="49"/>
      <c r="DR5" s="10"/>
      <c r="DS5" s="23"/>
      <c r="DT5" s="23"/>
      <c r="DU5" s="23"/>
      <c r="DV5" s="49"/>
      <c r="DW5" s="10"/>
      <c r="DX5" s="23"/>
      <c r="DY5" s="23"/>
      <c r="DZ5" s="23"/>
      <c r="EA5" s="49"/>
      <c r="EB5" s="10"/>
      <c r="EC5" s="23"/>
      <c r="ED5" s="23"/>
      <c r="EE5" s="23"/>
      <c r="EF5" s="49"/>
      <c r="EG5" s="10"/>
      <c r="EH5" s="23"/>
      <c r="EI5" s="23"/>
      <c r="EJ5" s="23"/>
      <c r="EK5" s="49"/>
      <c r="EL5" s="10"/>
      <c r="EM5" s="23"/>
      <c r="EN5" s="23"/>
      <c r="EO5" s="23"/>
      <c r="EP5" s="49"/>
      <c r="EQ5" s="23"/>
      <c r="ER5" s="23"/>
      <c r="ES5" s="23"/>
      <c r="ET5" s="23"/>
      <c r="EU5" s="49"/>
      <c r="EV5" s="10"/>
      <c r="EW5" s="23"/>
      <c r="EX5" s="23"/>
      <c r="EY5" s="23"/>
      <c r="EZ5" s="49"/>
      <c r="FA5" s="23"/>
      <c r="FB5" s="23"/>
      <c r="FC5" s="23"/>
      <c r="FD5" s="23"/>
      <c r="FE5" s="23"/>
      <c r="FF5" s="23"/>
      <c r="FG5" s="10"/>
      <c r="FH5" s="23"/>
      <c r="FI5" s="23"/>
      <c r="FJ5" s="49"/>
    </row>
    <row r="6" spans="1:166" x14ac:dyDescent="0.25">
      <c r="A6" s="23" t="s">
        <v>182</v>
      </c>
      <c r="B6" s="10">
        <v>2</v>
      </c>
      <c r="C6" s="23">
        <v>17468.46</v>
      </c>
      <c r="D6" s="23">
        <v>216.01</v>
      </c>
      <c r="E6" s="23"/>
      <c r="F6" s="49">
        <v>0.96389999999999998</v>
      </c>
      <c r="G6" s="10">
        <v>1</v>
      </c>
      <c r="H6" s="23">
        <v>40</v>
      </c>
      <c r="I6" s="23"/>
      <c r="J6" s="23"/>
      <c r="K6" s="49">
        <v>6.0000000000000001E-3</v>
      </c>
      <c r="L6" s="10">
        <v>7</v>
      </c>
      <c r="M6" s="23">
        <v>107004.49</v>
      </c>
      <c r="N6" s="23">
        <v>4803.79</v>
      </c>
      <c r="O6" s="23"/>
      <c r="P6" s="49">
        <v>0.154</v>
      </c>
      <c r="Q6" s="10"/>
      <c r="R6" s="23"/>
      <c r="S6" s="23"/>
      <c r="T6" s="23"/>
      <c r="U6" s="49"/>
      <c r="V6" s="10">
        <v>45</v>
      </c>
      <c r="W6" s="23">
        <v>109168.36</v>
      </c>
      <c r="X6" s="23">
        <v>2640.48</v>
      </c>
      <c r="Y6" s="23">
        <v>33384.14</v>
      </c>
      <c r="Z6" s="49">
        <v>0.3014</v>
      </c>
      <c r="AA6" s="10">
        <v>2</v>
      </c>
      <c r="AB6" s="23">
        <v>3240.5270500000001</v>
      </c>
      <c r="AC6" s="23"/>
      <c r="AD6" s="23">
        <v>29.509889999999999</v>
      </c>
      <c r="AE6" s="49">
        <v>2.8400000000000002E-2</v>
      </c>
      <c r="AF6" s="10"/>
      <c r="AG6" s="23">
        <v>440.04</v>
      </c>
      <c r="AH6" s="23">
        <v>33.22</v>
      </c>
      <c r="AI6" s="23"/>
      <c r="AJ6" s="49">
        <v>0.11210000000000001</v>
      </c>
      <c r="AK6" s="23"/>
      <c r="AL6" s="23"/>
      <c r="AM6" s="23"/>
      <c r="AN6" s="23"/>
      <c r="AO6" s="49"/>
      <c r="AP6" s="10">
        <v>3</v>
      </c>
      <c r="AQ6" s="23">
        <v>603.86</v>
      </c>
      <c r="AR6" s="23"/>
      <c r="AS6" s="23">
        <v>3.23</v>
      </c>
      <c r="AT6" s="49">
        <v>0.23100000000000001</v>
      </c>
      <c r="AU6" s="10"/>
      <c r="AV6" s="23"/>
      <c r="AW6" s="23"/>
      <c r="AX6" s="23"/>
      <c r="AY6" s="49"/>
      <c r="AZ6" s="10">
        <v>12</v>
      </c>
      <c r="BA6" s="10">
        <v>2375</v>
      </c>
      <c r="BB6" s="10">
        <v>192</v>
      </c>
      <c r="BC6" s="10">
        <v>244</v>
      </c>
      <c r="BD6" s="49">
        <v>2.12E-2</v>
      </c>
      <c r="BE6" s="10">
        <v>7</v>
      </c>
      <c r="BF6" s="10">
        <v>16541</v>
      </c>
      <c r="BG6" s="10">
        <v>83</v>
      </c>
      <c r="BH6" s="10">
        <v>197</v>
      </c>
      <c r="BI6" s="49">
        <v>0.2432</v>
      </c>
      <c r="BJ6" s="10">
        <v>32</v>
      </c>
      <c r="BK6" s="23">
        <v>177908.8</v>
      </c>
      <c r="BL6" s="23">
        <v>7918.5</v>
      </c>
      <c r="BM6" s="23">
        <v>6454.4</v>
      </c>
      <c r="BN6" s="49">
        <v>0.39979999999999999</v>
      </c>
      <c r="BO6" s="10">
        <v>49</v>
      </c>
      <c r="BP6" s="10">
        <v>62093</v>
      </c>
      <c r="BQ6" s="10">
        <v>2808</v>
      </c>
      <c r="BR6" s="10">
        <v>11570</v>
      </c>
      <c r="BS6" s="49">
        <v>0.19350000000000001</v>
      </c>
      <c r="BT6" s="10">
        <v>9</v>
      </c>
      <c r="BU6" s="10">
        <v>16013</v>
      </c>
      <c r="BV6" s="10">
        <v>469</v>
      </c>
      <c r="BW6" s="10">
        <v>633</v>
      </c>
      <c r="BX6" s="49">
        <v>0.05</v>
      </c>
      <c r="BY6" s="10"/>
      <c r="BZ6" s="23"/>
      <c r="CA6" s="23"/>
      <c r="CB6" s="23"/>
      <c r="CC6" s="49"/>
      <c r="CD6" s="10">
        <v>3</v>
      </c>
      <c r="CE6" s="10"/>
      <c r="CF6" s="10"/>
      <c r="CG6" s="10"/>
      <c r="CH6" s="49">
        <v>1.6000000000000001E-3</v>
      </c>
      <c r="CI6" s="10">
        <v>7</v>
      </c>
      <c r="CJ6" s="10">
        <v>18199</v>
      </c>
      <c r="CK6" s="10">
        <v>196</v>
      </c>
      <c r="CL6" s="10"/>
      <c r="CM6" s="49">
        <v>0.36520000000000002</v>
      </c>
      <c r="CN6" s="10"/>
      <c r="CO6" s="23"/>
      <c r="CP6" s="23"/>
      <c r="CQ6" s="23"/>
      <c r="CR6" s="49"/>
      <c r="CS6" s="10">
        <v>1</v>
      </c>
      <c r="CT6" s="10">
        <v>1374</v>
      </c>
      <c r="CU6" s="10"/>
      <c r="CV6" s="23"/>
      <c r="CW6" s="73">
        <v>0.05</v>
      </c>
      <c r="CX6" s="23"/>
      <c r="CY6" s="23"/>
      <c r="CZ6" s="23"/>
      <c r="DA6" s="23"/>
      <c r="DB6" s="163"/>
      <c r="DC6" s="10">
        <v>26</v>
      </c>
      <c r="DD6" s="10">
        <v>815</v>
      </c>
      <c r="DE6" s="10">
        <v>1681</v>
      </c>
      <c r="DF6" s="10">
        <v>2366</v>
      </c>
      <c r="DG6" s="49">
        <v>3.0700000000000002E-2</v>
      </c>
      <c r="DH6" s="23"/>
      <c r="DI6" s="10">
        <v>6865</v>
      </c>
      <c r="DJ6" s="10">
        <v>2208</v>
      </c>
      <c r="DK6" s="10">
        <v>1554</v>
      </c>
      <c r="DL6" s="49">
        <v>3.27E-2</v>
      </c>
      <c r="DM6" s="10">
        <v>3</v>
      </c>
      <c r="DN6" s="10"/>
      <c r="DO6" s="10">
        <v>406</v>
      </c>
      <c r="DP6" s="10">
        <v>-2</v>
      </c>
      <c r="DQ6" s="49">
        <v>0.1099</v>
      </c>
      <c r="DR6" s="10">
        <v>33</v>
      </c>
      <c r="DS6" s="23">
        <v>5917.74</v>
      </c>
      <c r="DT6" s="23">
        <v>387.78</v>
      </c>
      <c r="DU6" s="23">
        <v>1281.1300000000001</v>
      </c>
      <c r="DV6" s="49">
        <v>2.1000000000000001E-2</v>
      </c>
      <c r="DW6" s="10"/>
      <c r="DX6" s="23"/>
      <c r="DY6" s="23"/>
      <c r="DZ6" s="23"/>
      <c r="EA6" s="49"/>
      <c r="EB6" s="10">
        <v>1</v>
      </c>
      <c r="EC6" s="23"/>
      <c r="ED6" s="23">
        <v>-2</v>
      </c>
      <c r="EE6" s="23">
        <v>3343.22</v>
      </c>
      <c r="EF6" s="49">
        <v>2.4500000000000001E-2</v>
      </c>
      <c r="EG6" s="10">
        <v>8</v>
      </c>
      <c r="EH6" s="23">
        <v>9319.23</v>
      </c>
      <c r="EI6" s="23">
        <v>245.84</v>
      </c>
      <c r="EJ6" s="23">
        <v>258.86</v>
      </c>
      <c r="EK6" s="49">
        <v>0.03</v>
      </c>
      <c r="EL6" s="10">
        <v>1</v>
      </c>
      <c r="EM6" s="23">
        <v>1.49</v>
      </c>
      <c r="EN6" s="23"/>
      <c r="EO6" s="23"/>
      <c r="EP6" s="49">
        <v>2.9999999999999997E-4</v>
      </c>
      <c r="EQ6" s="23"/>
      <c r="ER6" s="23"/>
      <c r="ES6" s="23"/>
      <c r="ET6" s="23"/>
      <c r="EU6" s="49"/>
      <c r="EV6" s="10">
        <v>54</v>
      </c>
      <c r="EW6" s="10">
        <v>97789</v>
      </c>
      <c r="EX6" s="10">
        <v>3925</v>
      </c>
      <c r="EY6" s="10">
        <v>5383</v>
      </c>
      <c r="EZ6" s="49">
        <v>0.36130000000000001</v>
      </c>
      <c r="FA6" s="10">
        <v>18</v>
      </c>
      <c r="FB6" s="10">
        <v>33</v>
      </c>
      <c r="FC6" s="10">
        <v>324</v>
      </c>
      <c r="FD6" s="10">
        <v>1289</v>
      </c>
      <c r="FE6" s="49">
        <v>4.1000000000000003E-3</v>
      </c>
      <c r="FF6" s="10">
        <v>43</v>
      </c>
      <c r="FG6" s="10">
        <v>16046</v>
      </c>
      <c r="FH6" s="10">
        <v>1991</v>
      </c>
      <c r="FI6" s="10">
        <v>7481</v>
      </c>
      <c r="FJ6" s="49">
        <v>0.183</v>
      </c>
    </row>
    <row r="7" spans="1:166" x14ac:dyDescent="0.25">
      <c r="A7" s="23" t="s">
        <v>183</v>
      </c>
      <c r="B7" s="10">
        <v>1</v>
      </c>
      <c r="C7" s="23">
        <v>663.21</v>
      </c>
      <c r="D7" s="23"/>
      <c r="E7" s="23"/>
      <c r="F7" s="49">
        <v>3.61E-2</v>
      </c>
      <c r="G7" s="10">
        <v>4</v>
      </c>
      <c r="H7" s="23">
        <v>6568.11</v>
      </c>
      <c r="I7" s="23">
        <v>26.8</v>
      </c>
      <c r="J7" s="23"/>
      <c r="K7" s="49">
        <v>0.99399999999999999</v>
      </c>
      <c r="L7" s="10">
        <v>52</v>
      </c>
      <c r="M7" s="23">
        <v>595128.41</v>
      </c>
      <c r="N7" s="23">
        <v>19179.87</v>
      </c>
      <c r="O7" s="23"/>
      <c r="P7" s="49">
        <v>0.84609999999999996</v>
      </c>
      <c r="Q7" s="10">
        <v>3</v>
      </c>
      <c r="R7" s="10">
        <v>43214</v>
      </c>
      <c r="S7" s="10">
        <v>111</v>
      </c>
      <c r="T7" s="10"/>
      <c r="U7" s="49">
        <v>0.76</v>
      </c>
      <c r="V7" s="10">
        <v>247</v>
      </c>
      <c r="W7" s="23">
        <v>261937.79</v>
      </c>
      <c r="X7" s="23">
        <v>15437.08</v>
      </c>
      <c r="Y7" s="23">
        <v>59142.47</v>
      </c>
      <c r="Z7" s="49">
        <v>0.6986</v>
      </c>
      <c r="AA7" s="10">
        <v>72</v>
      </c>
      <c r="AB7" s="23">
        <v>59370.671119999999</v>
      </c>
      <c r="AC7" s="23">
        <v>4830.32654</v>
      </c>
      <c r="AD7" s="23">
        <v>1098.63121</v>
      </c>
      <c r="AE7" s="49">
        <v>0.5665</v>
      </c>
      <c r="AF7" s="10"/>
      <c r="AG7" s="23">
        <v>2257.34</v>
      </c>
      <c r="AH7" s="23">
        <v>392.23</v>
      </c>
      <c r="AI7" s="23">
        <v>1099.82</v>
      </c>
      <c r="AJ7" s="49">
        <v>0.88790000000000002</v>
      </c>
      <c r="AK7" s="10">
        <v>5</v>
      </c>
      <c r="AL7" s="23">
        <v>-111.33</v>
      </c>
      <c r="AM7" s="23">
        <v>112.52</v>
      </c>
      <c r="AN7" s="23"/>
      <c r="AO7" s="49">
        <v>2.9999999999999997E-4</v>
      </c>
      <c r="AP7" s="10">
        <v>13</v>
      </c>
      <c r="AQ7" s="23">
        <v>1385.67</v>
      </c>
      <c r="AR7" s="23">
        <v>300.32</v>
      </c>
      <c r="AS7" s="23">
        <v>55.05</v>
      </c>
      <c r="AT7" s="49">
        <v>0.66100000000000003</v>
      </c>
      <c r="AU7" s="10">
        <v>6</v>
      </c>
      <c r="AV7" s="36">
        <v>13796.15</v>
      </c>
      <c r="AW7" s="36">
        <v>2599.66</v>
      </c>
      <c r="AX7" s="23"/>
      <c r="AY7" s="49">
        <v>0.57899999999999996</v>
      </c>
      <c r="AZ7" s="10">
        <v>75</v>
      </c>
      <c r="BA7" s="10">
        <v>25535</v>
      </c>
      <c r="BB7" s="10">
        <v>2399</v>
      </c>
      <c r="BC7" s="10">
        <v>2363</v>
      </c>
      <c r="BD7" s="49">
        <v>0.22850000000000001</v>
      </c>
      <c r="BE7" s="10">
        <v>31</v>
      </c>
      <c r="BF7" s="10">
        <v>50282</v>
      </c>
      <c r="BG7" s="10">
        <v>856</v>
      </c>
      <c r="BH7" s="10">
        <v>1197</v>
      </c>
      <c r="BI7" s="49">
        <v>0.75660000000000005</v>
      </c>
      <c r="BJ7" s="10">
        <v>163</v>
      </c>
      <c r="BK7" s="23">
        <v>255726.5</v>
      </c>
      <c r="BL7" s="23">
        <v>8957.9</v>
      </c>
      <c r="BM7" s="23">
        <v>16098.7</v>
      </c>
      <c r="BN7" s="49">
        <v>0.58389999999999997</v>
      </c>
      <c r="BO7" s="10">
        <v>180</v>
      </c>
      <c r="BP7" s="10">
        <v>240176</v>
      </c>
      <c r="BQ7" s="10">
        <v>15989</v>
      </c>
      <c r="BR7" s="10">
        <v>39557</v>
      </c>
      <c r="BS7" s="49">
        <v>0.74829999999999997</v>
      </c>
      <c r="BT7" s="10">
        <v>153</v>
      </c>
      <c r="BU7" s="10">
        <v>259262</v>
      </c>
      <c r="BV7" s="10">
        <v>12566</v>
      </c>
      <c r="BW7" s="10">
        <v>24634</v>
      </c>
      <c r="BX7" s="49">
        <v>0.89</v>
      </c>
      <c r="BY7" s="10">
        <v>4</v>
      </c>
      <c r="BZ7" s="10">
        <v>459</v>
      </c>
      <c r="CA7" s="10">
        <v>149</v>
      </c>
      <c r="CB7" s="23"/>
      <c r="CC7" s="49">
        <v>0.10299999999999999</v>
      </c>
      <c r="CD7" s="10">
        <v>17</v>
      </c>
      <c r="CE7" s="10"/>
      <c r="CF7" s="10"/>
      <c r="CG7" s="10"/>
      <c r="CH7" s="49">
        <v>0.99829999999999997</v>
      </c>
      <c r="CI7" s="10">
        <v>22</v>
      </c>
      <c r="CJ7" s="10">
        <v>30158</v>
      </c>
      <c r="CK7" s="10">
        <v>515</v>
      </c>
      <c r="CL7" s="10">
        <v>778</v>
      </c>
      <c r="CM7" s="49">
        <v>0.62429999999999997</v>
      </c>
      <c r="CN7" s="10">
        <v>1</v>
      </c>
      <c r="CO7" s="23">
        <v>-2.96</v>
      </c>
      <c r="CP7" s="23">
        <v>12.69</v>
      </c>
      <c r="CQ7" s="23">
        <v>-0.33</v>
      </c>
      <c r="CR7" s="49">
        <v>1.15E-2</v>
      </c>
      <c r="CS7" s="10">
        <v>3</v>
      </c>
      <c r="CT7" s="10">
        <v>27448</v>
      </c>
      <c r="CU7" s="10">
        <v>99</v>
      </c>
      <c r="CV7" s="23"/>
      <c r="CW7" s="73">
        <v>0.95</v>
      </c>
      <c r="CX7" s="23"/>
      <c r="CY7" s="164">
        <v>241456.44</v>
      </c>
      <c r="CZ7" s="165">
        <v>13731.83</v>
      </c>
      <c r="DA7" s="167">
        <v>104341.49</v>
      </c>
      <c r="DB7" s="160">
        <v>0.58960000000000001</v>
      </c>
      <c r="DC7" s="10">
        <v>195</v>
      </c>
      <c r="DD7" s="10">
        <v>6304</v>
      </c>
      <c r="DE7" s="10">
        <v>4156</v>
      </c>
      <c r="DF7" s="10">
        <v>10463</v>
      </c>
      <c r="DG7" s="49">
        <v>0.1323</v>
      </c>
      <c r="DH7" s="23"/>
      <c r="DI7" s="10">
        <v>12472</v>
      </c>
      <c r="DJ7" s="10">
        <v>9564</v>
      </c>
      <c r="DK7" s="10">
        <v>7323</v>
      </c>
      <c r="DL7" s="49">
        <v>9.0300000000000005E-2</v>
      </c>
      <c r="DM7" s="10">
        <v>5</v>
      </c>
      <c r="DN7" s="10">
        <v>1216</v>
      </c>
      <c r="DO7" s="10">
        <v>1227</v>
      </c>
      <c r="DP7" s="10">
        <v>826</v>
      </c>
      <c r="DQ7" s="49">
        <v>0.8901</v>
      </c>
      <c r="DR7" s="10">
        <v>148</v>
      </c>
      <c r="DS7" s="23">
        <v>264586.8</v>
      </c>
      <c r="DT7" s="23">
        <v>10169.799999999999</v>
      </c>
      <c r="DU7" s="23">
        <v>9658.85</v>
      </c>
      <c r="DV7" s="49">
        <v>0.79500000000000004</v>
      </c>
      <c r="DW7" s="10">
        <v>1</v>
      </c>
      <c r="DX7" s="10">
        <v>49144</v>
      </c>
      <c r="DY7" s="10">
        <v>225</v>
      </c>
      <c r="DZ7" s="10">
        <v>28930</v>
      </c>
      <c r="EA7" s="49">
        <v>1</v>
      </c>
      <c r="EB7" s="10">
        <v>55</v>
      </c>
      <c r="EC7" s="23">
        <v>49314.38</v>
      </c>
      <c r="ED7" s="23">
        <v>2894.68</v>
      </c>
      <c r="EE7" s="23">
        <v>1073.8399999999999</v>
      </c>
      <c r="EF7" s="49">
        <v>0.39119999999999999</v>
      </c>
      <c r="EG7" s="10">
        <v>220</v>
      </c>
      <c r="EH7" s="23">
        <v>262591.14</v>
      </c>
      <c r="EI7" s="23">
        <v>18819.810000000001</v>
      </c>
      <c r="EJ7" s="23">
        <v>4058.94</v>
      </c>
      <c r="EK7" s="49">
        <v>0.87250000000000005</v>
      </c>
      <c r="EL7" s="10">
        <v>9</v>
      </c>
      <c r="EM7" s="23">
        <v>148.77000000000001</v>
      </c>
      <c r="EN7" s="23">
        <v>158.46</v>
      </c>
      <c r="EO7" s="23">
        <v>25.56</v>
      </c>
      <c r="EP7" s="49">
        <v>7.51E-2</v>
      </c>
      <c r="EQ7" s="10">
        <v>3</v>
      </c>
      <c r="ER7" s="23">
        <v>162215.28</v>
      </c>
      <c r="ES7" s="23">
        <v>351.44</v>
      </c>
      <c r="ET7" s="23"/>
      <c r="EU7" s="49">
        <v>1</v>
      </c>
      <c r="EV7" s="10">
        <v>66</v>
      </c>
      <c r="EW7" s="10">
        <v>146700</v>
      </c>
      <c r="EX7" s="10">
        <v>7797</v>
      </c>
      <c r="EY7" s="10">
        <v>13275</v>
      </c>
      <c r="EZ7" s="49">
        <v>0.39700000000000002</v>
      </c>
      <c r="FA7" s="10">
        <v>361</v>
      </c>
      <c r="FB7" s="10">
        <v>21361</v>
      </c>
      <c r="FC7" s="10">
        <v>24831</v>
      </c>
      <c r="FD7" s="10">
        <v>103838</v>
      </c>
      <c r="FE7" s="49">
        <v>0.37259999999999999</v>
      </c>
      <c r="FF7" s="10">
        <v>31</v>
      </c>
      <c r="FG7" s="10">
        <v>100067</v>
      </c>
      <c r="FH7" s="10">
        <v>9859</v>
      </c>
      <c r="FI7" s="10">
        <v>757</v>
      </c>
      <c r="FJ7" s="49">
        <v>0.79369999999999996</v>
      </c>
    </row>
    <row r="8" spans="1:166" x14ac:dyDescent="0.25">
      <c r="A8" s="23" t="s">
        <v>184</v>
      </c>
      <c r="B8" s="10"/>
      <c r="C8" s="23"/>
      <c r="D8" s="23"/>
      <c r="E8" s="23"/>
      <c r="F8" s="49"/>
      <c r="G8" s="10"/>
      <c r="H8" s="23"/>
      <c r="I8" s="23"/>
      <c r="J8" s="23"/>
      <c r="K8" s="49"/>
      <c r="L8" s="23"/>
      <c r="M8" s="23"/>
      <c r="N8" s="23"/>
      <c r="O8" s="23"/>
      <c r="P8" s="23"/>
      <c r="Q8" s="10">
        <v>1</v>
      </c>
      <c r="R8" s="10">
        <v>13279</v>
      </c>
      <c r="S8" s="10">
        <v>343</v>
      </c>
      <c r="T8" s="10"/>
      <c r="U8" s="49">
        <v>0.24</v>
      </c>
      <c r="V8" s="10"/>
      <c r="W8" s="23"/>
      <c r="X8" s="23"/>
      <c r="Y8" s="23"/>
      <c r="Z8" s="49"/>
      <c r="AA8" s="10">
        <v>16</v>
      </c>
      <c r="AB8" s="23">
        <v>42013.622750000002</v>
      </c>
      <c r="AC8" s="23">
        <v>2640.5781699999998</v>
      </c>
      <c r="AD8" s="23">
        <v>265.41550999999998</v>
      </c>
      <c r="AE8" s="49">
        <v>0.38969999999999999</v>
      </c>
      <c r="AF8" s="10"/>
      <c r="AG8" s="23"/>
      <c r="AH8" s="23"/>
      <c r="AI8" s="23"/>
      <c r="AJ8" s="49"/>
      <c r="AK8" s="10">
        <v>6</v>
      </c>
      <c r="AL8" s="23">
        <v>3908.04</v>
      </c>
      <c r="AM8" s="23">
        <v>332.18</v>
      </c>
      <c r="AN8" s="23"/>
      <c r="AO8" s="49">
        <v>0.99719999999999998</v>
      </c>
      <c r="AP8" s="10">
        <v>12</v>
      </c>
      <c r="AQ8" s="23">
        <v>239.98</v>
      </c>
      <c r="AR8" s="23">
        <v>44.8</v>
      </c>
      <c r="AS8" s="23"/>
      <c r="AT8" s="49">
        <v>0.108</v>
      </c>
      <c r="AU8" s="10">
        <v>3</v>
      </c>
      <c r="AV8" s="36">
        <v>11551.05</v>
      </c>
      <c r="AW8" s="36">
        <v>371.06</v>
      </c>
      <c r="AX8" s="23"/>
      <c r="AY8" s="49">
        <v>0.42099999999999999</v>
      </c>
      <c r="AZ8" s="10">
        <v>13</v>
      </c>
      <c r="BA8" s="10">
        <v>7040</v>
      </c>
      <c r="BB8" s="10">
        <v>768</v>
      </c>
      <c r="BC8" s="10">
        <v>78</v>
      </c>
      <c r="BD8" s="49">
        <v>5.9499999999999997E-2</v>
      </c>
      <c r="BE8" s="10"/>
      <c r="BF8" s="23"/>
      <c r="BG8" s="23"/>
      <c r="BH8" s="23"/>
      <c r="BI8" s="49"/>
      <c r="BJ8" s="10">
        <v>5</v>
      </c>
      <c r="BK8" s="23">
        <v>15.5</v>
      </c>
      <c r="BL8" s="23"/>
      <c r="BM8" s="23">
        <v>14.8</v>
      </c>
      <c r="BN8" s="49">
        <v>1E-4</v>
      </c>
      <c r="BO8" s="10">
        <v>4</v>
      </c>
      <c r="BP8" s="10">
        <v>129</v>
      </c>
      <c r="BQ8" s="10">
        <v>199</v>
      </c>
      <c r="BR8" s="10">
        <v>290</v>
      </c>
      <c r="BS8" s="49">
        <v>1.6000000000000001E-3</v>
      </c>
      <c r="BT8" s="10">
        <v>25</v>
      </c>
      <c r="BU8" s="10">
        <v>5799</v>
      </c>
      <c r="BV8" s="10">
        <v>534</v>
      </c>
      <c r="BW8" s="10">
        <v>2568</v>
      </c>
      <c r="BX8" s="49">
        <v>0.03</v>
      </c>
      <c r="BY8" s="10">
        <v>1</v>
      </c>
      <c r="BZ8" s="10">
        <v>4760</v>
      </c>
      <c r="CA8" s="10">
        <v>384</v>
      </c>
      <c r="CB8" s="10">
        <v>2</v>
      </c>
      <c r="CC8" s="49">
        <v>0.86899999999999999</v>
      </c>
      <c r="CD8" s="10"/>
      <c r="CE8" s="10"/>
      <c r="CF8" s="10"/>
      <c r="CG8" s="10"/>
      <c r="CH8" s="49"/>
      <c r="CI8" s="10">
        <v>5</v>
      </c>
      <c r="CJ8" s="10">
        <v>11</v>
      </c>
      <c r="CK8" s="10"/>
      <c r="CL8" s="10"/>
      <c r="CM8" s="49">
        <v>2.0000000000000001E-4</v>
      </c>
      <c r="CN8" s="10"/>
      <c r="CO8" s="23"/>
      <c r="CP8" s="23"/>
      <c r="CQ8" s="23"/>
      <c r="CR8" s="49"/>
      <c r="CS8" s="10"/>
      <c r="CT8" s="23"/>
      <c r="CU8" s="23"/>
      <c r="CV8" s="23"/>
      <c r="CW8" s="73"/>
      <c r="CX8" s="23"/>
      <c r="CY8" s="164">
        <v>175135.12</v>
      </c>
      <c r="CZ8" s="165">
        <v>9987.7000000000007</v>
      </c>
      <c r="DA8" s="167">
        <v>22191.13</v>
      </c>
      <c r="DB8" s="160">
        <v>0.34</v>
      </c>
      <c r="DC8" s="10">
        <v>45</v>
      </c>
      <c r="DD8" s="10">
        <v>20933</v>
      </c>
      <c r="DE8" s="10">
        <v>9569</v>
      </c>
      <c r="DF8" s="10">
        <v>101246</v>
      </c>
      <c r="DG8" s="49">
        <v>0.83299999999999996</v>
      </c>
      <c r="DH8" s="23"/>
      <c r="DI8" s="10">
        <v>423</v>
      </c>
      <c r="DJ8" s="10">
        <v>635</v>
      </c>
      <c r="DK8" s="10">
        <v>3</v>
      </c>
      <c r="DL8" s="49">
        <v>3.3E-3</v>
      </c>
      <c r="DM8" s="10"/>
      <c r="DN8" s="23"/>
      <c r="DO8" s="23"/>
      <c r="DP8" s="23"/>
      <c r="DQ8" s="49"/>
      <c r="DR8" s="10">
        <v>12</v>
      </c>
      <c r="DS8" s="23">
        <v>6119.89</v>
      </c>
      <c r="DT8" s="23">
        <v>522.63</v>
      </c>
      <c r="DU8" s="23">
        <v>2073.11</v>
      </c>
      <c r="DV8" s="49">
        <v>2.4E-2</v>
      </c>
      <c r="DW8" s="10"/>
      <c r="DX8" s="23"/>
      <c r="DY8" s="23"/>
      <c r="DZ8" s="23"/>
      <c r="EA8" s="49"/>
      <c r="EB8" s="10">
        <v>17</v>
      </c>
      <c r="EC8" s="23">
        <v>73625.34</v>
      </c>
      <c r="ED8" s="23">
        <v>2105.87</v>
      </c>
      <c r="EE8" s="23">
        <v>3833.96</v>
      </c>
      <c r="EF8" s="49">
        <v>0.58420000000000005</v>
      </c>
      <c r="EG8" s="10">
        <v>1</v>
      </c>
      <c r="EH8" s="23"/>
      <c r="EI8" s="23">
        <v>0.89</v>
      </c>
      <c r="EJ8" s="23">
        <v>981.08</v>
      </c>
      <c r="EK8" s="49">
        <v>3.0000000000000001E-3</v>
      </c>
      <c r="EL8" s="10">
        <v>8</v>
      </c>
      <c r="EM8" s="23">
        <v>3747.6</v>
      </c>
      <c r="EN8" s="23">
        <v>328.66</v>
      </c>
      <c r="EO8" s="23">
        <v>3.45</v>
      </c>
      <c r="EP8" s="49">
        <v>0.92110000000000003</v>
      </c>
      <c r="EQ8" s="23"/>
      <c r="ER8" s="23"/>
      <c r="ES8" s="23"/>
      <c r="ET8" s="23"/>
      <c r="EU8" s="49"/>
      <c r="EV8" s="10">
        <v>1</v>
      </c>
      <c r="EW8" s="10">
        <v>86</v>
      </c>
      <c r="EX8" s="10"/>
      <c r="EY8" s="10"/>
      <c r="EZ8" s="49">
        <v>4.0000000000000002E-4</v>
      </c>
      <c r="FA8" s="10">
        <v>105</v>
      </c>
      <c r="FB8" s="10">
        <v>3265</v>
      </c>
      <c r="FC8" s="10">
        <v>4369</v>
      </c>
      <c r="FD8" s="10">
        <v>1856</v>
      </c>
      <c r="FE8" s="49">
        <v>2.3599999999999999E-2</v>
      </c>
      <c r="FF8" s="10">
        <v>6</v>
      </c>
      <c r="FG8" s="10">
        <v>295</v>
      </c>
      <c r="FH8" s="10">
        <v>396</v>
      </c>
      <c r="FI8" s="10"/>
      <c r="FJ8" s="49">
        <v>5.0000000000000001E-3</v>
      </c>
    </row>
    <row r="9" spans="1:166" x14ac:dyDescent="0.25">
      <c r="A9" s="23" t="s">
        <v>185</v>
      </c>
      <c r="B9" s="10"/>
      <c r="C9" s="23"/>
      <c r="D9" s="23"/>
      <c r="E9" s="23"/>
      <c r="F9" s="49"/>
      <c r="G9" s="23"/>
      <c r="H9" s="23"/>
      <c r="I9" s="23"/>
      <c r="J9" s="23"/>
      <c r="K9" s="49"/>
      <c r="L9" s="10">
        <v>3</v>
      </c>
      <c r="M9" s="23">
        <v>-44.07</v>
      </c>
      <c r="N9" s="23"/>
      <c r="O9" s="23"/>
      <c r="P9" s="49">
        <v>-1E-4</v>
      </c>
      <c r="Q9" s="10"/>
      <c r="R9" s="23"/>
      <c r="S9" s="23"/>
      <c r="T9" s="23"/>
      <c r="U9" s="49"/>
      <c r="V9" s="10"/>
      <c r="W9" s="23"/>
      <c r="X9" s="23"/>
      <c r="Y9" s="23"/>
      <c r="Z9" s="49"/>
      <c r="AA9" s="10">
        <v>1</v>
      </c>
      <c r="AB9" s="23">
        <v>610.67416000000003</v>
      </c>
      <c r="AC9" s="23">
        <v>172.56390999999999</v>
      </c>
      <c r="AD9" s="23"/>
      <c r="AE9" s="49">
        <v>6.7999999999999996E-3</v>
      </c>
      <c r="AF9" s="10"/>
      <c r="AG9" s="23"/>
      <c r="AH9" s="23"/>
      <c r="AI9" s="23"/>
      <c r="AJ9" s="49"/>
      <c r="AK9" s="10">
        <v>2</v>
      </c>
      <c r="AL9" s="23">
        <v>0.14000000000000001</v>
      </c>
      <c r="AM9" s="23">
        <v>10.43</v>
      </c>
      <c r="AN9" s="23"/>
      <c r="AO9" s="49">
        <v>2.5000000000000001E-3</v>
      </c>
      <c r="AP9" s="10"/>
      <c r="AQ9" s="23"/>
      <c r="AR9" s="23"/>
      <c r="AS9" s="23"/>
      <c r="AT9" s="49"/>
      <c r="AU9" s="10">
        <v>2</v>
      </c>
      <c r="AV9" s="36">
        <v>0.51</v>
      </c>
      <c r="AW9" s="23">
        <v>0.01</v>
      </c>
      <c r="AX9" s="23"/>
      <c r="AY9" s="49"/>
      <c r="AZ9" s="10"/>
      <c r="BA9" s="10"/>
      <c r="BB9" s="10"/>
      <c r="BC9" s="10"/>
      <c r="BD9" s="49"/>
      <c r="BE9" s="10"/>
      <c r="BF9" s="23"/>
      <c r="BG9" s="23"/>
      <c r="BH9" s="23"/>
      <c r="BI9" s="49"/>
      <c r="BJ9" s="10"/>
      <c r="BK9" s="23"/>
      <c r="BL9" s="23"/>
      <c r="BM9" s="23"/>
      <c r="BN9" s="49"/>
      <c r="BO9" s="10">
        <v>11</v>
      </c>
      <c r="BP9" s="10">
        <v>1409</v>
      </c>
      <c r="BQ9" s="10">
        <v>162</v>
      </c>
      <c r="BR9" s="10">
        <v>509</v>
      </c>
      <c r="BS9" s="49">
        <v>5.3E-3</v>
      </c>
      <c r="BT9" s="10"/>
      <c r="BU9" s="10"/>
      <c r="BV9" s="10"/>
      <c r="BW9" s="10"/>
      <c r="BX9" s="49"/>
      <c r="BY9" s="10"/>
      <c r="BZ9" s="23"/>
      <c r="CA9" s="23"/>
      <c r="CB9" s="10"/>
      <c r="CC9" s="49"/>
      <c r="CD9" s="10">
        <v>2</v>
      </c>
      <c r="CE9" s="10"/>
      <c r="CF9" s="10"/>
      <c r="CG9" s="10"/>
      <c r="CH9" s="49">
        <v>1E-4</v>
      </c>
      <c r="CI9" s="10">
        <v>10</v>
      </c>
      <c r="CJ9" s="10">
        <v>426</v>
      </c>
      <c r="CK9" s="10"/>
      <c r="CL9" s="10">
        <v>76</v>
      </c>
      <c r="CM9" s="49">
        <v>0.01</v>
      </c>
      <c r="CN9" s="10"/>
      <c r="CO9" s="23"/>
      <c r="CP9" s="23"/>
      <c r="CQ9" s="23"/>
      <c r="CR9" s="49"/>
      <c r="CS9" s="10"/>
      <c r="CT9" s="23"/>
      <c r="CU9" s="23"/>
      <c r="CV9" s="23"/>
      <c r="CW9" s="73"/>
      <c r="CX9" s="23"/>
      <c r="CY9" s="164">
        <v>27184.04</v>
      </c>
      <c r="CZ9" s="165">
        <v>5095.8999999999996</v>
      </c>
      <c r="DA9" s="167">
        <v>10636.25</v>
      </c>
      <c r="DB9" s="160">
        <v>7.0400000000000004E-2</v>
      </c>
      <c r="DC9" s="10">
        <v>1</v>
      </c>
      <c r="DD9" s="10"/>
      <c r="DE9" s="10"/>
      <c r="DF9" s="10">
        <v>629</v>
      </c>
      <c r="DG9" s="49">
        <v>4.0000000000000001E-3</v>
      </c>
      <c r="DH9" s="23"/>
      <c r="DI9" s="10">
        <f>22401+1731</f>
        <v>24132</v>
      </c>
      <c r="DJ9" s="10">
        <f>2125+1813</f>
        <v>3938</v>
      </c>
      <c r="DK9" s="10">
        <f>180+136</f>
        <v>316</v>
      </c>
      <c r="DL9" s="49">
        <v>8.7300000000000003E-2</v>
      </c>
      <c r="DM9" s="10"/>
      <c r="DN9" s="23"/>
      <c r="DO9" s="23"/>
      <c r="DP9" s="23"/>
      <c r="DQ9" s="49"/>
      <c r="DR9" s="10">
        <v>9</v>
      </c>
      <c r="DS9" s="23">
        <v>15497.96</v>
      </c>
      <c r="DT9" s="23">
        <v>807.62</v>
      </c>
      <c r="DU9" s="23">
        <v>785.43</v>
      </c>
      <c r="DV9" s="49">
        <v>4.8000000000000001E-2</v>
      </c>
      <c r="DW9" s="10"/>
      <c r="DX9" s="23"/>
      <c r="DY9" s="23"/>
      <c r="DZ9" s="23"/>
      <c r="EA9" s="49"/>
      <c r="EB9" s="10"/>
      <c r="EC9" s="23"/>
      <c r="ED9" s="23"/>
      <c r="EE9" s="23"/>
      <c r="EF9" s="49"/>
      <c r="EG9" s="10">
        <v>1</v>
      </c>
      <c r="EH9" s="23">
        <v>2021.19</v>
      </c>
      <c r="EI9" s="23">
        <v>365.33</v>
      </c>
      <c r="EJ9" s="23">
        <v>0.99</v>
      </c>
      <c r="EK9" s="49">
        <v>7.3000000000000001E-3</v>
      </c>
      <c r="EL9" s="10">
        <v>4</v>
      </c>
      <c r="EM9" s="23">
        <v>7.34</v>
      </c>
      <c r="EN9" s="23">
        <v>7.88</v>
      </c>
      <c r="EO9" s="23"/>
      <c r="EP9" s="49">
        <v>3.3999999999999998E-3</v>
      </c>
      <c r="EQ9" s="23"/>
      <c r="ER9" s="23"/>
      <c r="ES9" s="23"/>
      <c r="ET9" s="23"/>
      <c r="EU9" s="49"/>
      <c r="EV9" s="10">
        <v>16</v>
      </c>
      <c r="EW9" s="10">
        <v>3975</v>
      </c>
      <c r="EX9" s="10">
        <v>127</v>
      </c>
      <c r="EY9" s="10">
        <v>76</v>
      </c>
      <c r="EZ9" s="49">
        <v>1.4E-2</v>
      </c>
      <c r="FA9" s="10">
        <v>27</v>
      </c>
      <c r="FB9" s="10">
        <v>1157</v>
      </c>
      <c r="FC9" s="10">
        <v>554</v>
      </c>
      <c r="FD9" s="10">
        <v>4837</v>
      </c>
      <c r="FE9" s="49">
        <v>1.6299999999999999E-2</v>
      </c>
      <c r="FF9" s="10">
        <v>27</v>
      </c>
      <c r="FG9" s="10">
        <v>1302</v>
      </c>
      <c r="FH9" s="10">
        <v>988</v>
      </c>
      <c r="FI9" s="10">
        <v>275</v>
      </c>
      <c r="FJ9" s="49">
        <v>1.84E-2</v>
      </c>
    </row>
    <row r="10" spans="1:166" ht="30" x14ac:dyDescent="0.25">
      <c r="A10" s="24" t="s">
        <v>186</v>
      </c>
      <c r="B10" s="10"/>
      <c r="C10" s="23"/>
      <c r="D10" s="23"/>
      <c r="E10" s="23"/>
      <c r="F10" s="49"/>
      <c r="G10" s="23"/>
      <c r="H10" s="23"/>
      <c r="I10" s="23"/>
      <c r="J10" s="23"/>
      <c r="K10" s="49"/>
      <c r="L10" s="23"/>
      <c r="M10" s="23"/>
      <c r="N10" s="23"/>
      <c r="O10" s="23"/>
      <c r="P10" s="23"/>
      <c r="Q10" s="10"/>
      <c r="R10" s="23"/>
      <c r="S10" s="23"/>
      <c r="T10" s="23"/>
      <c r="U10" s="49"/>
      <c r="V10" s="10"/>
      <c r="W10" s="23"/>
      <c r="X10" s="23"/>
      <c r="Y10" s="23"/>
      <c r="Z10" s="49"/>
      <c r="AA10" s="10">
        <v>11</v>
      </c>
      <c r="AB10" s="23"/>
      <c r="AC10" s="23"/>
      <c r="AD10" s="23">
        <v>1004.5616</v>
      </c>
      <c r="AE10" s="49">
        <v>8.6999999999999994E-3</v>
      </c>
      <c r="AF10" s="10"/>
      <c r="AG10" s="23"/>
      <c r="AH10" s="23"/>
      <c r="AI10" s="23"/>
      <c r="AJ10" s="49"/>
      <c r="AK10" s="10"/>
      <c r="AL10" s="23"/>
      <c r="AM10" s="23"/>
      <c r="AN10" s="23"/>
      <c r="AO10" s="49"/>
      <c r="AP10" s="10"/>
      <c r="AQ10" s="23"/>
      <c r="AR10" s="23"/>
      <c r="AS10" s="23"/>
      <c r="AT10" s="49"/>
      <c r="AU10" s="10"/>
      <c r="AV10" s="23"/>
      <c r="AW10" s="23"/>
      <c r="AX10" s="23"/>
      <c r="AY10" s="49"/>
      <c r="AZ10" s="10">
        <v>12</v>
      </c>
      <c r="BA10" s="10">
        <v>181</v>
      </c>
      <c r="BB10" s="10"/>
      <c r="BC10" s="10">
        <v>861</v>
      </c>
      <c r="BD10" s="49">
        <v>7.9000000000000008E-3</v>
      </c>
      <c r="BE10" s="10"/>
      <c r="BF10" s="23"/>
      <c r="BG10" s="23"/>
      <c r="BH10" s="23"/>
      <c r="BI10" s="49"/>
      <c r="BJ10" s="10"/>
      <c r="BK10" s="23"/>
      <c r="BL10" s="23"/>
      <c r="BM10" s="23"/>
      <c r="BN10" s="49"/>
      <c r="BO10" s="10"/>
      <c r="BP10" s="10"/>
      <c r="BQ10" s="10"/>
      <c r="BR10" s="10"/>
      <c r="BS10" s="49"/>
      <c r="BT10" s="10"/>
      <c r="BU10" s="10"/>
      <c r="BV10" s="10"/>
      <c r="BW10" s="10"/>
      <c r="BX10" s="49"/>
      <c r="BY10" s="10"/>
      <c r="BZ10" s="23"/>
      <c r="CA10" s="23"/>
      <c r="CB10" s="10"/>
      <c r="CC10" s="49"/>
      <c r="CD10" s="10"/>
      <c r="CE10" s="23"/>
      <c r="CF10" s="23"/>
      <c r="CG10" s="23"/>
      <c r="CH10" s="49"/>
      <c r="CI10" s="23"/>
      <c r="CJ10" s="10"/>
      <c r="CK10" s="10"/>
      <c r="CL10" s="10"/>
      <c r="CM10" s="49"/>
      <c r="CN10" s="10"/>
      <c r="CO10" s="23"/>
      <c r="CP10" s="23"/>
      <c r="CQ10" s="23"/>
      <c r="CR10" s="49"/>
      <c r="CS10" s="10"/>
      <c r="CT10" s="23"/>
      <c r="CU10" s="23"/>
      <c r="CV10" s="23"/>
      <c r="CW10" s="73"/>
      <c r="CX10" s="23"/>
      <c r="CY10" s="23"/>
      <c r="CZ10" s="23"/>
      <c r="DA10" s="23"/>
      <c r="DB10" s="163"/>
      <c r="DC10" s="10"/>
      <c r="DD10" s="10"/>
      <c r="DE10" s="10"/>
      <c r="DF10" s="10"/>
      <c r="DG10" s="49"/>
      <c r="DH10" s="23"/>
      <c r="DI10" s="10">
        <v>200866</v>
      </c>
      <c r="DJ10" s="10">
        <v>19666</v>
      </c>
      <c r="DK10" s="10">
        <v>28718</v>
      </c>
      <c r="DL10" s="49">
        <v>0.76629999999999998</v>
      </c>
      <c r="DM10" s="10"/>
      <c r="DN10" s="23"/>
      <c r="DO10" s="23"/>
      <c r="DP10" s="23"/>
      <c r="DQ10" s="49"/>
      <c r="DR10" s="10"/>
      <c r="DS10" s="23"/>
      <c r="DT10" s="23"/>
      <c r="DU10" s="23"/>
      <c r="DV10" s="49"/>
      <c r="DW10" s="10"/>
      <c r="DX10" s="23"/>
      <c r="DY10" s="23"/>
      <c r="DZ10" s="23"/>
      <c r="EA10" s="49"/>
      <c r="EB10" s="10"/>
      <c r="EC10" s="23"/>
      <c r="ED10" s="23"/>
      <c r="EE10" s="23"/>
      <c r="EF10" s="49"/>
      <c r="EG10" s="10"/>
      <c r="EH10" s="23"/>
      <c r="EI10" s="23"/>
      <c r="EJ10" s="23"/>
      <c r="EK10" s="49"/>
      <c r="EL10" s="10"/>
      <c r="EM10" s="23"/>
      <c r="EN10" s="23"/>
      <c r="EO10" s="23"/>
      <c r="EP10" s="49"/>
      <c r="EQ10" s="23"/>
      <c r="ER10" s="23"/>
      <c r="ES10" s="23"/>
      <c r="ET10" s="23"/>
      <c r="EU10" s="49"/>
      <c r="EV10" s="10"/>
      <c r="EW10" s="10"/>
      <c r="EX10" s="10"/>
      <c r="EY10" s="10"/>
      <c r="EZ10" s="49"/>
      <c r="FA10" s="10">
        <v>93</v>
      </c>
      <c r="FB10" s="10">
        <v>120940</v>
      </c>
      <c r="FC10" s="10">
        <v>26455</v>
      </c>
      <c r="FD10" s="10">
        <v>87562</v>
      </c>
      <c r="FE10" s="49">
        <v>0.58350000000000002</v>
      </c>
      <c r="FF10" s="10"/>
      <c r="FG10" s="10"/>
      <c r="FH10" s="10"/>
      <c r="FI10" s="10"/>
      <c r="FJ10" s="49"/>
    </row>
    <row r="11" spans="1:166" x14ac:dyDescent="0.25">
      <c r="A11" s="24" t="s">
        <v>44</v>
      </c>
      <c r="B11" s="10"/>
      <c r="C11" s="23"/>
      <c r="D11" s="23"/>
      <c r="E11" s="23"/>
      <c r="F11" s="49"/>
      <c r="G11" s="23"/>
      <c r="H11" s="23"/>
      <c r="I11" s="23"/>
      <c r="J11" s="23"/>
      <c r="K11" s="49"/>
      <c r="L11" s="23"/>
      <c r="M11" s="23"/>
      <c r="N11" s="23"/>
      <c r="O11" s="23"/>
      <c r="P11" s="23"/>
      <c r="Q11" s="10"/>
      <c r="R11" s="23"/>
      <c r="S11" s="23"/>
      <c r="T11" s="23"/>
      <c r="U11" s="49"/>
      <c r="V11" s="10"/>
      <c r="W11" s="23"/>
      <c r="X11" s="23"/>
      <c r="Y11" s="23"/>
      <c r="Z11" s="49"/>
      <c r="AA11" s="10"/>
      <c r="AB11" s="23"/>
      <c r="AC11" s="23"/>
      <c r="AD11" s="23"/>
      <c r="AE11" s="49"/>
      <c r="AF11" s="10"/>
      <c r="AG11" s="23"/>
      <c r="AH11" s="23"/>
      <c r="AI11" s="23"/>
      <c r="AJ11" s="49"/>
      <c r="AK11" s="10"/>
      <c r="AL11" s="23"/>
      <c r="AM11" s="23"/>
      <c r="AN11" s="23"/>
      <c r="AO11" s="49"/>
      <c r="AP11" s="10"/>
      <c r="AQ11" s="23"/>
      <c r="AR11" s="23"/>
      <c r="AS11" s="23"/>
      <c r="AT11" s="49"/>
      <c r="AU11" s="10"/>
      <c r="AV11" s="23"/>
      <c r="AW11" s="23"/>
      <c r="AX11" s="23"/>
      <c r="AY11" s="49"/>
      <c r="AZ11" s="10">
        <v>9</v>
      </c>
      <c r="BA11" s="10">
        <f>10274+69583</f>
        <v>79857</v>
      </c>
      <c r="BB11" s="10">
        <f>2035+6526</f>
        <v>8561</v>
      </c>
      <c r="BC11" s="10">
        <v>918</v>
      </c>
      <c r="BD11" s="49">
        <v>0.68289999999999995</v>
      </c>
      <c r="BE11" s="10"/>
      <c r="BF11" s="23"/>
      <c r="BG11" s="23"/>
      <c r="BH11" s="23"/>
      <c r="BI11" s="49"/>
      <c r="BJ11" s="10"/>
      <c r="BK11" s="23"/>
      <c r="BL11" s="23"/>
      <c r="BM11" s="23"/>
      <c r="BN11" s="49"/>
      <c r="BO11" s="10"/>
      <c r="BP11" s="10"/>
      <c r="BQ11" s="10"/>
      <c r="BR11" s="10"/>
      <c r="BS11" s="49"/>
      <c r="BT11" s="10"/>
      <c r="BU11" s="10"/>
      <c r="BV11" s="10"/>
      <c r="BW11" s="10"/>
      <c r="BX11" s="49"/>
      <c r="BY11" s="10"/>
      <c r="BZ11" s="23"/>
      <c r="CA11" s="23"/>
      <c r="CB11" s="10"/>
      <c r="CC11" s="49"/>
      <c r="CD11" s="10"/>
      <c r="CE11" s="23"/>
      <c r="CF11" s="23"/>
      <c r="CG11" s="23"/>
      <c r="CH11" s="49"/>
      <c r="CI11" s="23"/>
      <c r="CJ11" s="10"/>
      <c r="CK11" s="10"/>
      <c r="CL11" s="10"/>
      <c r="CM11" s="49"/>
      <c r="CN11" s="10"/>
      <c r="CO11" s="23"/>
      <c r="CP11" s="23"/>
      <c r="CQ11" s="23"/>
      <c r="CR11" s="49"/>
      <c r="CS11" s="10"/>
      <c r="CT11" s="23"/>
      <c r="CU11" s="23"/>
      <c r="CV11" s="23"/>
      <c r="CW11" s="73"/>
      <c r="CX11" s="23"/>
      <c r="CY11" s="23"/>
      <c r="CZ11" s="23"/>
      <c r="DA11" s="23"/>
      <c r="DB11" s="23"/>
      <c r="DC11" s="10"/>
      <c r="DD11" s="23"/>
      <c r="DE11" s="23"/>
      <c r="DF11" s="23"/>
      <c r="DG11" s="49"/>
      <c r="DH11" s="23"/>
      <c r="DI11" s="10">
        <v>6300</v>
      </c>
      <c r="DJ11" s="10"/>
      <c r="DK11" s="10"/>
      <c r="DL11" s="49">
        <v>1.9400000000000001E-2</v>
      </c>
      <c r="DM11" s="10"/>
      <c r="DN11" s="23"/>
      <c r="DO11" s="23"/>
      <c r="DP11" s="23"/>
      <c r="DQ11" s="49"/>
      <c r="DR11" s="10"/>
      <c r="DS11" s="23"/>
      <c r="DT11" s="23"/>
      <c r="DU11" s="23"/>
      <c r="DV11" s="49"/>
      <c r="DW11" s="10"/>
      <c r="DX11" s="23"/>
      <c r="DY11" s="23"/>
      <c r="DZ11" s="23"/>
      <c r="EA11" s="49"/>
      <c r="EB11" s="10"/>
      <c r="EC11" s="23"/>
      <c r="ED11" s="23"/>
      <c r="EE11" s="23"/>
      <c r="EF11" s="49"/>
      <c r="EG11" s="10"/>
      <c r="EH11" s="23"/>
      <c r="EI11" s="23"/>
      <c r="EJ11" s="23"/>
      <c r="EK11" s="49"/>
      <c r="EL11" s="10"/>
      <c r="EM11" s="23"/>
      <c r="EN11" s="23"/>
      <c r="EO11" s="23"/>
      <c r="EP11" s="49"/>
      <c r="EQ11" s="23"/>
      <c r="ER11" s="23"/>
      <c r="ES11" s="23"/>
      <c r="ET11" s="23"/>
      <c r="EU11" s="49"/>
      <c r="EV11" s="10"/>
      <c r="EW11" s="10"/>
      <c r="EX11" s="10"/>
      <c r="EY11" s="10"/>
      <c r="EZ11" s="49"/>
      <c r="FA11" s="10"/>
      <c r="FB11" s="10"/>
      <c r="FC11" s="10"/>
      <c r="FD11" s="10"/>
      <c r="FE11" s="23"/>
      <c r="FF11" s="23"/>
      <c r="FG11" s="10"/>
      <c r="FH11" s="23"/>
      <c r="FI11" s="23"/>
      <c r="FJ11" s="49"/>
    </row>
    <row r="12" spans="1:166" x14ac:dyDescent="0.25">
      <c r="A12" s="24" t="s">
        <v>187</v>
      </c>
      <c r="B12" s="10"/>
      <c r="C12" s="23"/>
      <c r="D12" s="23"/>
      <c r="E12" s="23"/>
      <c r="F12" s="49"/>
      <c r="G12" s="23"/>
      <c r="H12" s="23"/>
      <c r="I12" s="23"/>
      <c r="J12" s="23"/>
      <c r="K12" s="49"/>
      <c r="L12" s="23"/>
      <c r="M12" s="23"/>
      <c r="N12" s="23"/>
      <c r="O12" s="23"/>
      <c r="P12" s="23"/>
      <c r="Q12" s="10"/>
      <c r="R12" s="23"/>
      <c r="S12" s="23"/>
      <c r="T12" s="23"/>
      <c r="U12" s="49"/>
      <c r="V12" s="10"/>
      <c r="W12" s="23"/>
      <c r="X12" s="23"/>
      <c r="Y12" s="23"/>
      <c r="Z12" s="49"/>
      <c r="AA12" s="10"/>
      <c r="AB12" s="23"/>
      <c r="AC12" s="23"/>
      <c r="AD12" s="23"/>
      <c r="AE12" s="49"/>
      <c r="AF12" s="10"/>
      <c r="AG12" s="23"/>
      <c r="AH12" s="23"/>
      <c r="AI12" s="23"/>
      <c r="AJ12" s="49"/>
      <c r="AK12" s="10"/>
      <c r="AL12" s="23"/>
      <c r="AM12" s="23"/>
      <c r="AN12" s="23"/>
      <c r="AO12" s="49"/>
      <c r="AP12" s="10"/>
      <c r="AQ12" s="23"/>
      <c r="AR12" s="23"/>
      <c r="AS12" s="23"/>
      <c r="AT12" s="49"/>
      <c r="AU12" s="10"/>
      <c r="AV12" s="23"/>
      <c r="AW12" s="23"/>
      <c r="AX12" s="23"/>
      <c r="AY12" s="49"/>
      <c r="AZ12" s="10"/>
      <c r="BA12" s="23"/>
      <c r="BB12" s="23"/>
      <c r="BC12" s="23"/>
      <c r="BD12" s="49"/>
      <c r="BE12" s="10"/>
      <c r="BF12" s="23"/>
      <c r="BG12" s="23"/>
      <c r="BH12" s="23"/>
      <c r="BI12" s="49"/>
      <c r="BJ12" s="10"/>
      <c r="BK12" s="23"/>
      <c r="BL12" s="23"/>
      <c r="BM12" s="23"/>
      <c r="BN12" s="49"/>
      <c r="BO12" s="10">
        <v>18</v>
      </c>
      <c r="BP12" s="10">
        <v>334</v>
      </c>
      <c r="BQ12" s="10">
        <v>6</v>
      </c>
      <c r="BR12" s="10">
        <v>19940</v>
      </c>
      <c r="BS12" s="49">
        <v>5.1299999999999998E-2</v>
      </c>
      <c r="BT12" s="10"/>
      <c r="BU12" s="10"/>
      <c r="BV12" s="10"/>
      <c r="BW12" s="10"/>
      <c r="BX12" s="49"/>
      <c r="BY12" s="10"/>
      <c r="BZ12" s="23"/>
      <c r="CA12" s="23"/>
      <c r="CB12" s="10"/>
      <c r="CC12" s="49"/>
      <c r="CD12" s="10"/>
      <c r="CE12" s="23"/>
      <c r="CF12" s="23"/>
      <c r="CG12" s="23"/>
      <c r="CH12" s="49"/>
      <c r="CI12" s="23"/>
      <c r="CJ12" s="10"/>
      <c r="CK12" s="10"/>
      <c r="CL12" s="10"/>
      <c r="CM12" s="49"/>
      <c r="CN12" s="10"/>
      <c r="CO12" s="23"/>
      <c r="CP12" s="23"/>
      <c r="CQ12" s="23"/>
      <c r="CR12" s="49"/>
      <c r="CS12" s="10"/>
      <c r="CT12" s="23"/>
      <c r="CU12" s="23"/>
      <c r="CV12" s="23"/>
      <c r="CW12" s="73"/>
      <c r="CX12" s="23"/>
      <c r="CY12" s="23"/>
      <c r="CZ12" s="23"/>
      <c r="DA12" s="23"/>
      <c r="DB12" s="23"/>
      <c r="DC12" s="10"/>
      <c r="DD12" s="23"/>
      <c r="DE12" s="23"/>
      <c r="DF12" s="23"/>
      <c r="DG12" s="49"/>
      <c r="DH12" s="23"/>
      <c r="DI12" s="10"/>
      <c r="DJ12" s="10"/>
      <c r="DK12" s="10"/>
      <c r="DL12" s="49"/>
      <c r="DM12" s="10"/>
      <c r="DN12" s="23"/>
      <c r="DO12" s="23"/>
      <c r="DP12" s="23"/>
      <c r="DQ12" s="49"/>
      <c r="DR12" s="10"/>
      <c r="DS12" s="23"/>
      <c r="DT12" s="23"/>
      <c r="DU12" s="23"/>
      <c r="DV12" s="49"/>
      <c r="DW12" s="10"/>
      <c r="DX12" s="23"/>
      <c r="DY12" s="23"/>
      <c r="DZ12" s="23"/>
      <c r="EA12" s="49"/>
      <c r="EB12" s="10"/>
      <c r="EC12" s="23"/>
      <c r="ED12" s="23"/>
      <c r="EE12" s="23"/>
      <c r="EF12" s="49"/>
      <c r="EG12" s="10"/>
      <c r="EH12" s="23"/>
      <c r="EI12" s="23"/>
      <c r="EJ12" s="23"/>
      <c r="EK12" s="49"/>
      <c r="EL12" s="10"/>
      <c r="EM12" s="23"/>
      <c r="EN12" s="23"/>
      <c r="EO12" s="23"/>
      <c r="EP12" s="49"/>
      <c r="EQ12" s="23"/>
      <c r="ER12" s="23"/>
      <c r="ES12" s="23"/>
      <c r="ET12" s="23"/>
      <c r="EU12" s="49"/>
      <c r="EV12" s="10"/>
      <c r="EW12" s="10"/>
      <c r="EX12" s="10"/>
      <c r="EY12" s="10"/>
      <c r="EZ12" s="49"/>
      <c r="FA12" s="23"/>
      <c r="FB12" s="10"/>
      <c r="FC12" s="10"/>
      <c r="FD12" s="10"/>
      <c r="FE12" s="23"/>
      <c r="FF12" s="23"/>
      <c r="FG12" s="10"/>
      <c r="FH12" s="23"/>
      <c r="FI12" s="23"/>
      <c r="FJ12" s="49"/>
    </row>
    <row r="13" spans="1:166" x14ac:dyDescent="0.25">
      <c r="A13" s="23" t="s">
        <v>188</v>
      </c>
      <c r="B13" s="10"/>
      <c r="C13" s="23"/>
      <c r="D13" s="23"/>
      <c r="E13" s="23"/>
      <c r="F13" s="49"/>
      <c r="G13" s="23"/>
      <c r="H13" s="23"/>
      <c r="I13" s="23"/>
      <c r="J13" s="23"/>
      <c r="K13" s="49"/>
      <c r="L13" s="23"/>
      <c r="M13" s="23"/>
      <c r="N13" s="23"/>
      <c r="O13" s="23"/>
      <c r="P13" s="23"/>
      <c r="Q13" s="10"/>
      <c r="R13" s="23"/>
      <c r="S13" s="23"/>
      <c r="T13" s="23"/>
      <c r="U13" s="49"/>
      <c r="V13" s="10"/>
      <c r="W13" s="23"/>
      <c r="X13" s="23"/>
      <c r="Y13" s="23"/>
      <c r="Z13" s="49"/>
      <c r="AA13" s="10"/>
      <c r="AB13" s="23"/>
      <c r="AC13" s="23"/>
      <c r="AD13" s="23"/>
      <c r="AE13" s="49"/>
      <c r="AF13" s="10"/>
      <c r="AG13" s="23"/>
      <c r="AH13" s="23"/>
      <c r="AI13" s="23"/>
      <c r="AJ13" s="49"/>
      <c r="AK13" s="10"/>
      <c r="AL13" s="23"/>
      <c r="AM13" s="23"/>
      <c r="AN13" s="23"/>
      <c r="AO13" s="49"/>
      <c r="AP13" s="10"/>
      <c r="AQ13" s="23"/>
      <c r="AR13" s="23"/>
      <c r="AS13" s="23"/>
      <c r="AT13" s="49"/>
      <c r="AU13" s="10"/>
      <c r="AV13" s="23"/>
      <c r="AW13" s="23"/>
      <c r="AX13" s="23"/>
      <c r="AY13" s="49"/>
      <c r="AZ13" s="10"/>
      <c r="BA13" s="23"/>
      <c r="BB13" s="23"/>
      <c r="BC13" s="23"/>
      <c r="BD13" s="49"/>
      <c r="BE13" s="10"/>
      <c r="BF13" s="23"/>
      <c r="BG13" s="23"/>
      <c r="BH13" s="23"/>
      <c r="BI13" s="49"/>
      <c r="BJ13" s="10">
        <v>17</v>
      </c>
      <c r="BK13" s="23"/>
      <c r="BL13" s="23"/>
      <c r="BM13" s="23">
        <v>7804.9</v>
      </c>
      <c r="BN13" s="49">
        <v>1.6199999999999999E-2</v>
      </c>
      <c r="BO13" s="10"/>
      <c r="BP13" s="23"/>
      <c r="BQ13" s="23"/>
      <c r="BR13" s="23"/>
      <c r="BS13" s="49"/>
      <c r="BT13" s="10">
        <v>16</v>
      </c>
      <c r="BU13" s="10">
        <v>56</v>
      </c>
      <c r="BV13" s="10">
        <v>5</v>
      </c>
      <c r="BW13" s="10">
        <v>10384</v>
      </c>
      <c r="BX13" s="49">
        <v>0.03</v>
      </c>
      <c r="BY13" s="10">
        <v>5</v>
      </c>
      <c r="BZ13" s="23"/>
      <c r="CA13" s="23"/>
      <c r="CB13" s="10">
        <v>168</v>
      </c>
      <c r="CC13" s="49">
        <v>2.8000000000000001E-2</v>
      </c>
      <c r="CD13" s="10"/>
      <c r="CE13" s="23"/>
      <c r="CF13" s="23"/>
      <c r="CG13" s="23"/>
      <c r="CH13" s="49"/>
      <c r="CI13" s="10">
        <v>4</v>
      </c>
      <c r="CJ13" s="10"/>
      <c r="CK13" s="10"/>
      <c r="CL13" s="10">
        <v>15</v>
      </c>
      <c r="CM13" s="49">
        <v>2.9999999999999997E-4</v>
      </c>
      <c r="CN13" s="10"/>
      <c r="CO13" s="23"/>
      <c r="CP13" s="23"/>
      <c r="CQ13" s="23"/>
      <c r="CR13" s="49"/>
      <c r="CS13" s="10"/>
      <c r="CT13" s="23"/>
      <c r="CU13" s="23"/>
      <c r="CV13" s="23"/>
      <c r="CW13" s="73"/>
      <c r="CX13" s="23"/>
      <c r="CY13" s="23"/>
      <c r="CZ13" s="23"/>
      <c r="DA13" s="23"/>
      <c r="DB13" s="23"/>
      <c r="DC13" s="10"/>
      <c r="DD13" s="23"/>
      <c r="DE13" s="23"/>
      <c r="DF13" s="23"/>
      <c r="DG13" s="49"/>
      <c r="DH13" s="23"/>
      <c r="DI13" s="10"/>
      <c r="DJ13" s="10"/>
      <c r="DK13" s="10"/>
      <c r="DL13" s="49"/>
      <c r="DM13" s="10"/>
      <c r="DN13" s="23"/>
      <c r="DO13" s="23"/>
      <c r="DP13" s="23"/>
      <c r="DQ13" s="49"/>
      <c r="DR13" s="10">
        <v>27</v>
      </c>
      <c r="DS13" s="23">
        <v>26573.09</v>
      </c>
      <c r="DT13" s="23">
        <v>1415.49</v>
      </c>
      <c r="DU13" s="23">
        <v>12237.49</v>
      </c>
      <c r="DV13" s="49">
        <v>0.112</v>
      </c>
      <c r="DW13" s="10">
        <v>1</v>
      </c>
      <c r="DX13" s="23"/>
      <c r="DY13" s="23"/>
      <c r="DZ13" s="23"/>
      <c r="EA13" s="49"/>
      <c r="EB13" s="10"/>
      <c r="EC13" s="23"/>
      <c r="ED13" s="23"/>
      <c r="EE13" s="23"/>
      <c r="EF13" s="49"/>
      <c r="EG13" s="10">
        <v>15</v>
      </c>
      <c r="EH13" s="23"/>
      <c r="EI13" s="23"/>
      <c r="EJ13" s="23">
        <v>28525.85</v>
      </c>
      <c r="EK13" s="49">
        <v>8.72E-2</v>
      </c>
      <c r="EL13" s="10"/>
      <c r="EM13" s="23"/>
      <c r="EN13" s="23"/>
      <c r="EO13" s="23"/>
      <c r="EP13" s="49"/>
      <c r="EQ13" s="23"/>
      <c r="ER13" s="23"/>
      <c r="ES13" s="23"/>
      <c r="ET13" s="23"/>
      <c r="EU13" s="49"/>
      <c r="EV13" s="10">
        <v>12</v>
      </c>
      <c r="EW13" s="10">
        <v>1610</v>
      </c>
      <c r="EX13" s="10">
        <v>55</v>
      </c>
      <c r="EY13" s="10">
        <v>1270</v>
      </c>
      <c r="EZ13" s="49">
        <v>0.2273</v>
      </c>
      <c r="FA13" s="23"/>
      <c r="FB13" s="23"/>
      <c r="FC13" s="23"/>
      <c r="FD13" s="23"/>
      <c r="FE13" s="23"/>
      <c r="FF13" s="23"/>
      <c r="FG13" s="10"/>
      <c r="FH13" s="23"/>
      <c r="FI13" s="23"/>
      <c r="FJ13" s="49"/>
    </row>
    <row r="14" spans="1:166" x14ac:dyDescent="0.25">
      <c r="A14" s="23" t="s">
        <v>189</v>
      </c>
      <c r="B14" s="10"/>
      <c r="C14" s="23"/>
      <c r="D14" s="23"/>
      <c r="E14" s="23"/>
      <c r="F14" s="49"/>
      <c r="G14" s="23"/>
      <c r="H14" s="23"/>
      <c r="I14" s="23"/>
      <c r="J14" s="23"/>
      <c r="K14" s="49"/>
      <c r="L14" s="23"/>
      <c r="M14" s="23"/>
      <c r="N14" s="23"/>
      <c r="O14" s="23"/>
      <c r="P14" s="23"/>
      <c r="Q14" s="10"/>
      <c r="R14" s="23"/>
      <c r="S14" s="23"/>
      <c r="T14" s="23"/>
      <c r="U14" s="49"/>
      <c r="V14" s="10"/>
      <c r="W14" s="23"/>
      <c r="X14" s="23"/>
      <c r="Y14" s="23"/>
      <c r="Z14" s="49"/>
      <c r="AA14" s="10"/>
      <c r="AB14" s="23"/>
      <c r="AC14" s="23"/>
      <c r="AD14" s="23"/>
      <c r="AE14" s="49"/>
      <c r="AF14" s="10"/>
      <c r="AG14" s="23"/>
      <c r="AH14" s="23"/>
      <c r="AI14" s="23"/>
      <c r="AJ14" s="49"/>
      <c r="AK14" s="10"/>
      <c r="AL14" s="23"/>
      <c r="AM14" s="23"/>
      <c r="AN14" s="23"/>
      <c r="AO14" s="49"/>
      <c r="AP14" s="10"/>
      <c r="AQ14" s="23"/>
      <c r="AR14" s="23"/>
      <c r="AS14" s="23"/>
      <c r="AT14" s="49"/>
      <c r="AU14" s="10"/>
      <c r="AV14" s="23"/>
      <c r="AW14" s="23"/>
      <c r="AX14" s="23"/>
      <c r="AY14" s="49"/>
      <c r="AZ14" s="10"/>
      <c r="BA14" s="23"/>
      <c r="BB14" s="23"/>
      <c r="BC14" s="23"/>
      <c r="BD14" s="49"/>
      <c r="BE14" s="10"/>
      <c r="BF14" s="23"/>
      <c r="BG14" s="23"/>
      <c r="BH14" s="23"/>
      <c r="BI14" s="49"/>
      <c r="BJ14" s="10"/>
      <c r="BK14" s="23"/>
      <c r="BL14" s="23"/>
      <c r="BM14" s="23"/>
      <c r="BN14" s="49"/>
      <c r="BO14" s="10"/>
      <c r="BP14" s="23"/>
      <c r="BQ14" s="23"/>
      <c r="BR14" s="23"/>
      <c r="BS14" s="49"/>
      <c r="BT14" s="10"/>
      <c r="BU14" s="23"/>
      <c r="BV14" s="23"/>
      <c r="BW14" s="23"/>
      <c r="BX14" s="49"/>
      <c r="BY14" s="10"/>
      <c r="BZ14" s="23"/>
      <c r="CA14" s="23"/>
      <c r="CB14" s="23"/>
      <c r="CC14" s="49"/>
      <c r="CD14" s="10"/>
      <c r="CE14" s="23"/>
      <c r="CF14" s="23"/>
      <c r="CG14" s="23"/>
      <c r="CH14" s="49"/>
      <c r="CI14" s="23"/>
      <c r="CJ14" s="23"/>
      <c r="CK14" s="23"/>
      <c r="CL14" s="23"/>
      <c r="CM14" s="49"/>
      <c r="CN14" s="10"/>
      <c r="CO14" s="23"/>
      <c r="CP14" s="23"/>
      <c r="CQ14" s="23"/>
      <c r="CR14" s="49"/>
      <c r="CS14" s="10"/>
      <c r="CT14" s="23"/>
      <c r="CU14" s="23"/>
      <c r="CV14" s="23"/>
      <c r="CW14" s="73"/>
      <c r="CX14" s="23"/>
      <c r="CY14" s="23"/>
      <c r="CZ14" s="23"/>
      <c r="DA14" s="23"/>
      <c r="DB14" s="23"/>
      <c r="DC14" s="10"/>
      <c r="DD14" s="23"/>
      <c r="DE14" s="23"/>
      <c r="DF14" s="23"/>
      <c r="DG14" s="49"/>
      <c r="DH14" s="23"/>
      <c r="DI14" s="10">
        <v>136</v>
      </c>
      <c r="DJ14" s="10">
        <v>147</v>
      </c>
      <c r="DK14" s="10"/>
      <c r="DL14" s="49">
        <v>8.9999999999999998E-4</v>
      </c>
      <c r="DM14" s="10"/>
      <c r="DN14" s="23"/>
      <c r="DO14" s="23"/>
      <c r="DP14" s="23"/>
      <c r="DQ14" s="49"/>
      <c r="DR14" s="10"/>
      <c r="DS14" s="23"/>
      <c r="DT14" s="23"/>
      <c r="DU14" s="23"/>
      <c r="DV14" s="49"/>
      <c r="DW14" s="10"/>
      <c r="DX14" s="23"/>
      <c r="DY14" s="23"/>
      <c r="DZ14" s="23"/>
      <c r="EA14" s="49"/>
      <c r="EB14" s="10"/>
      <c r="EC14" s="23"/>
      <c r="ED14" s="23"/>
      <c r="EE14" s="23"/>
      <c r="EF14" s="49"/>
      <c r="EG14" s="10"/>
      <c r="EH14" s="23"/>
      <c r="EI14" s="23"/>
      <c r="EJ14" s="23"/>
      <c r="EK14" s="49"/>
      <c r="EL14" s="10"/>
      <c r="EM14" s="23"/>
      <c r="EN14" s="23"/>
      <c r="EO14" s="23"/>
      <c r="EP14" s="49"/>
      <c r="EQ14" s="23"/>
      <c r="ER14" s="23"/>
      <c r="ES14" s="23"/>
      <c r="ET14" s="23"/>
      <c r="EU14" s="49"/>
      <c r="EV14" s="10"/>
      <c r="EW14" s="23"/>
      <c r="EX14" s="23"/>
      <c r="EY14" s="23"/>
      <c r="EZ14" s="49"/>
      <c r="FA14" s="23"/>
      <c r="FB14" s="23"/>
      <c r="FC14" s="23"/>
      <c r="FD14" s="23"/>
      <c r="FE14" s="23"/>
      <c r="FF14" s="23"/>
      <c r="FG14" s="10"/>
      <c r="FH14" s="23"/>
      <c r="FI14" s="23"/>
      <c r="FJ14" s="49"/>
    </row>
    <row r="15" spans="1:166" s="54" customFormat="1" x14ac:dyDescent="0.25">
      <c r="A15" s="25" t="s">
        <v>162</v>
      </c>
      <c r="B15" s="43">
        <f>SUM(B5:B14)</f>
        <v>3</v>
      </c>
      <c r="C15" s="43">
        <f t="shared" ref="C15:P15" si="0">SUM(C5:C14)</f>
        <v>18131.669999999998</v>
      </c>
      <c r="D15" s="43">
        <f t="shared" si="0"/>
        <v>216.01</v>
      </c>
      <c r="E15" s="43">
        <f t="shared" si="0"/>
        <v>0</v>
      </c>
      <c r="F15" s="95">
        <f t="shared" si="0"/>
        <v>1</v>
      </c>
      <c r="G15" s="43">
        <v>5</v>
      </c>
      <c r="H15" s="25">
        <f t="shared" si="0"/>
        <v>6608.11</v>
      </c>
      <c r="I15" s="25">
        <f t="shared" si="0"/>
        <v>26.8</v>
      </c>
      <c r="J15" s="25">
        <f t="shared" si="0"/>
        <v>0</v>
      </c>
      <c r="K15" s="51">
        <f t="shared" si="0"/>
        <v>1</v>
      </c>
      <c r="L15" s="43">
        <f t="shared" si="0"/>
        <v>62</v>
      </c>
      <c r="M15" s="25">
        <f t="shared" si="0"/>
        <v>702088.83000000007</v>
      </c>
      <c r="N15" s="25">
        <f t="shared" si="0"/>
        <v>23983.66</v>
      </c>
      <c r="O15" s="25">
        <f t="shared" si="0"/>
        <v>0</v>
      </c>
      <c r="P15" s="51">
        <f t="shared" si="0"/>
        <v>1</v>
      </c>
      <c r="Q15" s="43">
        <f>SUM(Q5:Q14)</f>
        <v>4</v>
      </c>
      <c r="R15" s="43">
        <f t="shared" ref="R15:U15" si="1">SUM(R5:R14)</f>
        <v>56493</v>
      </c>
      <c r="S15" s="43">
        <f t="shared" si="1"/>
        <v>454</v>
      </c>
      <c r="T15" s="43">
        <f t="shared" si="1"/>
        <v>0</v>
      </c>
      <c r="U15" s="51">
        <f t="shared" si="1"/>
        <v>1</v>
      </c>
      <c r="V15" s="43">
        <f>SUM(V5:V14)</f>
        <v>292</v>
      </c>
      <c r="W15" s="25">
        <f t="shared" ref="W15:AT15" si="2">SUM(W5:W14)</f>
        <v>371106.15</v>
      </c>
      <c r="X15" s="25">
        <f t="shared" si="2"/>
        <v>18077.560000000001</v>
      </c>
      <c r="Y15" s="25">
        <f t="shared" si="2"/>
        <v>92526.61</v>
      </c>
      <c r="Z15" s="51">
        <f t="shared" si="2"/>
        <v>1</v>
      </c>
      <c r="AA15" s="25">
        <f t="shared" si="2"/>
        <v>102</v>
      </c>
      <c r="AB15" s="25">
        <f t="shared" si="2"/>
        <v>105235.49507999999</v>
      </c>
      <c r="AC15" s="25">
        <f t="shared" si="2"/>
        <v>7643.4686199999996</v>
      </c>
      <c r="AD15" s="25">
        <f t="shared" si="2"/>
        <v>2398.1182100000001</v>
      </c>
      <c r="AE15" s="51">
        <f t="shared" si="2"/>
        <v>1.0001</v>
      </c>
      <c r="AF15" s="25">
        <f t="shared" si="2"/>
        <v>0</v>
      </c>
      <c r="AG15" s="25">
        <f t="shared" si="2"/>
        <v>2697.38</v>
      </c>
      <c r="AH15" s="25">
        <f t="shared" si="2"/>
        <v>425.45000000000005</v>
      </c>
      <c r="AI15" s="25">
        <f t="shared" si="2"/>
        <v>1099.82</v>
      </c>
      <c r="AJ15" s="51">
        <f t="shared" si="2"/>
        <v>1</v>
      </c>
      <c r="AK15" s="43">
        <f t="shared" si="2"/>
        <v>13</v>
      </c>
      <c r="AL15" s="25">
        <f t="shared" si="2"/>
        <v>3796.85</v>
      </c>
      <c r="AM15" s="25">
        <f t="shared" si="2"/>
        <v>455.13</v>
      </c>
      <c r="AN15" s="25">
        <f t="shared" si="2"/>
        <v>0</v>
      </c>
      <c r="AO15" s="51">
        <f t="shared" si="2"/>
        <v>0.99999999999999989</v>
      </c>
      <c r="AP15" s="43">
        <f t="shared" si="2"/>
        <v>28</v>
      </c>
      <c r="AQ15" s="25">
        <f t="shared" si="2"/>
        <v>2229.5100000000002</v>
      </c>
      <c r="AR15" s="25">
        <f t="shared" si="2"/>
        <v>345.12</v>
      </c>
      <c r="AS15" s="25">
        <f t="shared" si="2"/>
        <v>58.279999999999994</v>
      </c>
      <c r="AT15" s="51">
        <f t="shared" si="2"/>
        <v>1</v>
      </c>
      <c r="AU15" s="43">
        <f>SUM(AU5:AU14)</f>
        <v>11</v>
      </c>
      <c r="AV15" s="25">
        <f t="shared" ref="AV15:BS15" si="3">SUM(AV5:AV14)</f>
        <v>25347.709999999995</v>
      </c>
      <c r="AW15" s="25">
        <f t="shared" si="3"/>
        <v>2970.73</v>
      </c>
      <c r="AX15" s="43">
        <f t="shared" si="3"/>
        <v>0</v>
      </c>
      <c r="AY15" s="51">
        <f t="shared" si="3"/>
        <v>1</v>
      </c>
      <c r="AZ15" s="43">
        <f t="shared" si="3"/>
        <v>122</v>
      </c>
      <c r="BA15" s="43">
        <f t="shared" si="3"/>
        <v>116222</v>
      </c>
      <c r="BB15" s="43">
        <f t="shared" si="3"/>
        <v>11920</v>
      </c>
      <c r="BC15" s="43">
        <f t="shared" si="3"/>
        <v>4464</v>
      </c>
      <c r="BD15" s="51">
        <f t="shared" si="3"/>
        <v>1</v>
      </c>
      <c r="BE15" s="43">
        <f t="shared" si="3"/>
        <v>39</v>
      </c>
      <c r="BF15" s="43">
        <f t="shared" si="3"/>
        <v>66823</v>
      </c>
      <c r="BG15" s="43">
        <f t="shared" si="3"/>
        <v>939</v>
      </c>
      <c r="BH15" s="43">
        <f t="shared" si="3"/>
        <v>1409</v>
      </c>
      <c r="BI15" s="51">
        <f t="shared" si="3"/>
        <v>1</v>
      </c>
      <c r="BJ15" s="43">
        <f t="shared" si="3"/>
        <v>217</v>
      </c>
      <c r="BK15" s="25">
        <f t="shared" si="3"/>
        <v>433650.8</v>
      </c>
      <c r="BL15" s="25">
        <f t="shared" si="3"/>
        <v>16876.400000000001</v>
      </c>
      <c r="BM15" s="43">
        <f t="shared" si="3"/>
        <v>30372.799999999996</v>
      </c>
      <c r="BN15" s="51">
        <f t="shared" si="3"/>
        <v>1</v>
      </c>
      <c r="BO15" s="43">
        <f t="shared" si="3"/>
        <v>262</v>
      </c>
      <c r="BP15" s="43">
        <f t="shared" si="3"/>
        <v>304141</v>
      </c>
      <c r="BQ15" s="43">
        <f t="shared" si="3"/>
        <v>19164</v>
      </c>
      <c r="BR15" s="43">
        <f t="shared" si="3"/>
        <v>71866</v>
      </c>
      <c r="BS15" s="51">
        <f t="shared" si="3"/>
        <v>1</v>
      </c>
      <c r="BT15" s="43">
        <f>SUM(BT5:BT14)</f>
        <v>203</v>
      </c>
      <c r="BU15" s="43">
        <f t="shared" ref="BU15:CC15" si="4">SUM(BU5:BU14)</f>
        <v>281130</v>
      </c>
      <c r="BV15" s="43">
        <f t="shared" si="4"/>
        <v>13574</v>
      </c>
      <c r="BW15" s="43">
        <f t="shared" si="4"/>
        <v>38219</v>
      </c>
      <c r="BX15" s="51">
        <f t="shared" si="4"/>
        <v>1</v>
      </c>
      <c r="BY15" s="43">
        <f t="shared" si="4"/>
        <v>10</v>
      </c>
      <c r="BZ15" s="43">
        <f t="shared" si="4"/>
        <v>5219</v>
      </c>
      <c r="CA15" s="43">
        <f t="shared" si="4"/>
        <v>533</v>
      </c>
      <c r="CB15" s="43">
        <f t="shared" si="4"/>
        <v>170</v>
      </c>
      <c r="CC15" s="51">
        <f t="shared" si="4"/>
        <v>1</v>
      </c>
      <c r="CD15" s="43">
        <f t="shared" ref="CD15" si="5">SUM(CD5:CD14)</f>
        <v>22</v>
      </c>
      <c r="CE15" s="43">
        <f t="shared" ref="CE15" si="6">SUM(CE5:CE14)</f>
        <v>0</v>
      </c>
      <c r="CF15" s="43">
        <f t="shared" ref="CF15" si="7">SUM(CF5:CF14)</f>
        <v>0</v>
      </c>
      <c r="CG15" s="43">
        <f t="shared" ref="CG15" si="8">SUM(CG5:CG14)</f>
        <v>0</v>
      </c>
      <c r="CH15" s="51">
        <f t="shared" ref="CH15" si="9">SUM(CH5:CH14)</f>
        <v>1</v>
      </c>
      <c r="CI15" s="43">
        <f t="shared" ref="CI15" si="10">SUM(CI5:CI14)</f>
        <v>48</v>
      </c>
      <c r="CJ15" s="43">
        <f t="shared" ref="CJ15" si="11">SUM(CJ5:CJ14)</f>
        <v>48794</v>
      </c>
      <c r="CK15" s="43">
        <f t="shared" ref="CK15" si="12">SUM(CK5:CK14)</f>
        <v>711</v>
      </c>
      <c r="CL15" s="43">
        <f t="shared" ref="CL15" si="13">SUM(CL5:CL14)</f>
        <v>869</v>
      </c>
      <c r="CM15" s="51">
        <f t="shared" ref="CM15" si="14">SUM(CM5:CM14)</f>
        <v>1</v>
      </c>
      <c r="CN15" s="43">
        <f t="shared" ref="CN15" si="15">SUM(CN5:CN14)</f>
        <v>2</v>
      </c>
      <c r="CO15" s="25">
        <f t="shared" ref="CO15" si="16">SUM(CO5:CO14)</f>
        <v>800.37</v>
      </c>
      <c r="CP15" s="25">
        <f t="shared" ref="CP15" si="17">SUM(CP5:CP14)</f>
        <v>17.39</v>
      </c>
      <c r="CQ15" s="25">
        <f t="shared" ref="CQ15" si="18">SUM(CQ5:CQ14)</f>
        <v>-0.33</v>
      </c>
      <c r="CR15" s="51">
        <f t="shared" ref="CR15" si="19">SUM(CR5:CR14)</f>
        <v>1</v>
      </c>
      <c r="CS15" s="43">
        <f>SUM(CS5:CS14)</f>
        <v>4</v>
      </c>
      <c r="CT15" s="43">
        <f t="shared" ref="CT15:CW15" si="20">SUM(CT5:CT14)</f>
        <v>28822</v>
      </c>
      <c r="CU15" s="43">
        <f t="shared" si="20"/>
        <v>99</v>
      </c>
      <c r="CV15" s="43">
        <f t="shared" si="20"/>
        <v>0</v>
      </c>
      <c r="CW15" s="74">
        <f t="shared" si="20"/>
        <v>1</v>
      </c>
      <c r="CX15" s="25"/>
      <c r="CY15" s="166">
        <f t="shared" ref="CY15:DB15" si="21">SUM(CY5:CY14)</f>
        <v>443775.6</v>
      </c>
      <c r="CZ15" s="166">
        <f t="shared" si="21"/>
        <v>28815.43</v>
      </c>
      <c r="DA15" s="166">
        <f t="shared" si="21"/>
        <v>137168.87</v>
      </c>
      <c r="DB15" s="161">
        <f t="shared" si="21"/>
        <v>1</v>
      </c>
      <c r="DC15" s="43">
        <f>SUM(DC5:DC14)</f>
        <v>267</v>
      </c>
      <c r="DD15" s="43">
        <f t="shared" ref="DD15:DG15" si="22">SUM(DD5:DD14)</f>
        <v>28052</v>
      </c>
      <c r="DE15" s="43">
        <f t="shared" si="22"/>
        <v>15406</v>
      </c>
      <c r="DF15" s="43">
        <f t="shared" si="22"/>
        <v>114704</v>
      </c>
      <c r="DG15" s="51">
        <f t="shared" si="22"/>
        <v>1</v>
      </c>
      <c r="DH15" s="25"/>
      <c r="DI15" s="43">
        <v>200363</v>
      </c>
      <c r="DJ15" s="43">
        <v>30200</v>
      </c>
      <c r="DK15" s="43">
        <v>21508</v>
      </c>
      <c r="DL15" s="51">
        <v>1</v>
      </c>
      <c r="DM15" s="43">
        <f t="shared" ref="DM15:DQ15" si="23">SUM(DM5:DM14)</f>
        <v>8</v>
      </c>
      <c r="DN15" s="25">
        <f t="shared" si="23"/>
        <v>1216</v>
      </c>
      <c r="DO15" s="25">
        <f t="shared" si="23"/>
        <v>1633</v>
      </c>
      <c r="DP15" s="25">
        <f t="shared" si="23"/>
        <v>824</v>
      </c>
      <c r="DQ15" s="51">
        <f t="shared" si="23"/>
        <v>1</v>
      </c>
      <c r="DR15" s="43">
        <f>SUM(DR5:DR14)</f>
        <v>229</v>
      </c>
      <c r="DS15" s="25">
        <f t="shared" ref="DS15:DV15" si="24">SUM(DS5:DS14)</f>
        <v>318695.48000000004</v>
      </c>
      <c r="DT15" s="25">
        <f t="shared" si="24"/>
        <v>13303.32</v>
      </c>
      <c r="DU15" s="25">
        <f t="shared" si="24"/>
        <v>26036.010000000002</v>
      </c>
      <c r="DV15" s="51">
        <f t="shared" si="24"/>
        <v>1.0000000000000002</v>
      </c>
      <c r="DW15" s="43">
        <f>SUM(DW5:DW14)</f>
        <v>2</v>
      </c>
      <c r="DX15" s="43">
        <f t="shared" ref="DX15:EA15" si="25">SUM(DX5:DX14)</f>
        <v>49144</v>
      </c>
      <c r="DY15" s="43">
        <f t="shared" si="25"/>
        <v>225</v>
      </c>
      <c r="DZ15" s="43">
        <f t="shared" si="25"/>
        <v>28930</v>
      </c>
      <c r="EA15" s="51">
        <f t="shared" si="25"/>
        <v>1</v>
      </c>
      <c r="EB15" s="43">
        <f t="shared" ref="EB15" si="26">SUM(EB5:EB14)</f>
        <v>73</v>
      </c>
      <c r="EC15" s="25">
        <f t="shared" ref="EC15" si="27">SUM(EC5:EC14)</f>
        <v>122939.72</v>
      </c>
      <c r="ED15" s="25">
        <f t="shared" ref="ED15" si="28">SUM(ED5:ED14)</f>
        <v>4998.5499999999993</v>
      </c>
      <c r="EE15" s="25">
        <f t="shared" ref="EE15:EK15" si="29">SUM(EE5:EE14)</f>
        <v>8251.02</v>
      </c>
      <c r="EF15" s="51">
        <f t="shared" ref="EF15" si="30">SUM(EF5:EF14)</f>
        <v>0.99990000000000001</v>
      </c>
      <c r="EG15" s="43">
        <f t="shared" si="29"/>
        <v>245</v>
      </c>
      <c r="EH15" s="25">
        <f t="shared" si="29"/>
        <v>273931.56</v>
      </c>
      <c r="EI15" s="25">
        <f t="shared" si="29"/>
        <v>19431.870000000003</v>
      </c>
      <c r="EJ15" s="25">
        <f t="shared" si="29"/>
        <v>33825.72</v>
      </c>
      <c r="EK15" s="51">
        <f t="shared" si="29"/>
        <v>1</v>
      </c>
      <c r="EL15" s="43">
        <f>SUM(EL5:EL14)</f>
        <v>22</v>
      </c>
      <c r="EM15" s="25">
        <f t="shared" ref="EM15:EU15" si="31">SUM(EM5:EM14)</f>
        <v>3905.2000000000003</v>
      </c>
      <c r="EN15" s="25">
        <f t="shared" si="31"/>
        <v>495</v>
      </c>
      <c r="EO15" s="25">
        <f t="shared" si="31"/>
        <v>29.009999999999998</v>
      </c>
      <c r="EP15" s="51">
        <f t="shared" si="31"/>
        <v>0.99990000000000001</v>
      </c>
      <c r="EQ15" s="43">
        <f t="shared" si="31"/>
        <v>3</v>
      </c>
      <c r="ER15" s="25">
        <f t="shared" si="31"/>
        <v>162215.28</v>
      </c>
      <c r="ES15" s="25">
        <f t="shared" si="31"/>
        <v>351.44</v>
      </c>
      <c r="ET15" s="25">
        <f t="shared" si="31"/>
        <v>0</v>
      </c>
      <c r="EU15" s="51">
        <f t="shared" si="31"/>
        <v>1</v>
      </c>
      <c r="EV15" s="43">
        <f>SUM(EV5:EV14)</f>
        <v>149</v>
      </c>
      <c r="EW15" s="43">
        <f t="shared" ref="EW15:FE15" si="32">SUM(EW5:EW14)</f>
        <v>250160</v>
      </c>
      <c r="EX15" s="43">
        <f t="shared" si="32"/>
        <v>11904</v>
      </c>
      <c r="EY15" s="43">
        <f t="shared" si="32"/>
        <v>20004</v>
      </c>
      <c r="EZ15" s="51">
        <f t="shared" si="32"/>
        <v>1</v>
      </c>
      <c r="FA15" s="99">
        <f t="shared" si="32"/>
        <v>604</v>
      </c>
      <c r="FB15" s="99">
        <f t="shared" si="32"/>
        <v>146756</v>
      </c>
      <c r="FC15" s="99">
        <f t="shared" si="32"/>
        <v>56533</v>
      </c>
      <c r="FD15" s="99">
        <f t="shared" si="32"/>
        <v>199382</v>
      </c>
      <c r="FE15" s="51">
        <f t="shared" si="32"/>
        <v>1.0001</v>
      </c>
      <c r="FF15" s="99">
        <f t="shared" ref="FF15" si="33">SUM(FF5:FF14)</f>
        <v>107</v>
      </c>
      <c r="FG15" s="99">
        <f t="shared" ref="FG15" si="34">SUM(FG5:FG14)</f>
        <v>117710</v>
      </c>
      <c r="FH15" s="99">
        <f t="shared" ref="FH15" si="35">SUM(FH5:FH14)</f>
        <v>13234</v>
      </c>
      <c r="FI15" s="99">
        <f t="shared" ref="FI15" si="36">SUM(FI5:FI14)</f>
        <v>8513</v>
      </c>
      <c r="FJ15" s="51">
        <f t="shared" ref="FJ15" si="37">SUM(FJ5:FJ14)</f>
        <v>1.0001</v>
      </c>
    </row>
    <row r="16" spans="1:166" x14ac:dyDescent="0.25">
      <c r="AK16" s="7"/>
    </row>
    <row r="17" spans="37:37" x14ac:dyDescent="0.25">
      <c r="AK17" s="7"/>
    </row>
  </sheetData>
  <mergeCells count="133">
    <mergeCell ref="FG3:FI3"/>
    <mergeCell ref="FJ3:FJ4"/>
    <mergeCell ref="A3:A4"/>
    <mergeCell ref="EW3:EY3"/>
    <mergeCell ref="EZ3:EZ4"/>
    <mergeCell ref="FA3:FA4"/>
    <mergeCell ref="FB3:FD3"/>
    <mergeCell ref="FE3:FE4"/>
    <mergeCell ref="FF3:FF4"/>
    <mergeCell ref="EM3:EO3"/>
    <mergeCell ref="EP3:EP4"/>
    <mergeCell ref="EQ3:EQ4"/>
    <mergeCell ref="ER3:ET3"/>
    <mergeCell ref="EU3:EU4"/>
    <mergeCell ref="EV3:EV4"/>
    <mergeCell ref="EC3:EE3"/>
    <mergeCell ref="EF3:EF4"/>
    <mergeCell ref="EG3:EG4"/>
    <mergeCell ref="EH3:EJ3"/>
    <mergeCell ref="EK3:EK4"/>
    <mergeCell ref="EL3:EL4"/>
    <mergeCell ref="DS3:DU3"/>
    <mergeCell ref="DV3:DV4"/>
    <mergeCell ref="DW3:DW4"/>
    <mergeCell ref="DX3:DZ3"/>
    <mergeCell ref="EA3:EA4"/>
    <mergeCell ref="EB3:EB4"/>
    <mergeCell ref="DI3:DK3"/>
    <mergeCell ref="DL3:DL4"/>
    <mergeCell ref="DM3:DM4"/>
    <mergeCell ref="DN3:DP3"/>
    <mergeCell ref="DQ3:DQ4"/>
    <mergeCell ref="DR3:DR4"/>
    <mergeCell ref="CY3:DA3"/>
    <mergeCell ref="DB3:DB4"/>
    <mergeCell ref="DC3:DC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AQ3:AS3"/>
    <mergeCell ref="AT3:AT4"/>
    <mergeCell ref="AU3:AU4"/>
    <mergeCell ref="AV3:AX3"/>
    <mergeCell ref="AY3:AY4"/>
    <mergeCell ref="AZ3:AZ4"/>
    <mergeCell ref="AG3:AI3"/>
    <mergeCell ref="AJ3:AJ4"/>
    <mergeCell ref="AK3:AK4"/>
    <mergeCell ref="AL3:AN3"/>
    <mergeCell ref="AO3:AO4"/>
    <mergeCell ref="AP3:AP4"/>
    <mergeCell ref="AA3:AA4"/>
    <mergeCell ref="AB3:AD3"/>
    <mergeCell ref="AE3:AE4"/>
    <mergeCell ref="AF3:AF4"/>
    <mergeCell ref="M3:O3"/>
    <mergeCell ref="P3:P4"/>
    <mergeCell ref="Q3:Q4"/>
    <mergeCell ref="R3:T3"/>
    <mergeCell ref="U3:U4"/>
    <mergeCell ref="V3:V4"/>
    <mergeCell ref="FF2:FJ2"/>
    <mergeCell ref="B3:B4"/>
    <mergeCell ref="C3:E3"/>
    <mergeCell ref="F3:F4"/>
    <mergeCell ref="G3:G4"/>
    <mergeCell ref="H3:J3"/>
    <mergeCell ref="K3:K4"/>
    <mergeCell ref="L3:L4"/>
    <mergeCell ref="DR2:DV2"/>
    <mergeCell ref="DW2:EA2"/>
    <mergeCell ref="EB2:EF2"/>
    <mergeCell ref="EG2:EK2"/>
    <mergeCell ref="EL2:EP2"/>
    <mergeCell ref="EQ2:EU2"/>
    <mergeCell ref="CN2:CR2"/>
    <mergeCell ref="CS2:CW2"/>
    <mergeCell ref="CX2:DB2"/>
    <mergeCell ref="DC2:DG2"/>
    <mergeCell ref="DH2:DL2"/>
    <mergeCell ref="DM2:DQ2"/>
    <mergeCell ref="BJ2:BN2"/>
    <mergeCell ref="BO2:BS2"/>
    <mergeCell ref="W3:Y3"/>
    <mergeCell ref="Z3:Z4"/>
    <mergeCell ref="CI2:CM2"/>
    <mergeCell ref="AF2:AJ2"/>
    <mergeCell ref="AK2:AO2"/>
    <mergeCell ref="AP2:AT2"/>
    <mergeCell ref="AU2:AY2"/>
    <mergeCell ref="AZ2:BD2"/>
    <mergeCell ref="BE2:BI2"/>
    <mergeCell ref="EV2:EZ2"/>
    <mergeCell ref="FA2:FE2"/>
    <mergeCell ref="B2:F2"/>
    <mergeCell ref="G2:K2"/>
    <mergeCell ref="L2:P2"/>
    <mergeCell ref="Q2:U2"/>
    <mergeCell ref="V2:Z2"/>
    <mergeCell ref="AA2:AE2"/>
    <mergeCell ref="BT2:BX2"/>
    <mergeCell ref="BY2:CC2"/>
    <mergeCell ref="CD2:C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100" width="10.85546875" style="7" customWidth="1"/>
    <col min="101" max="16384" width="9.140625" style="7"/>
  </cols>
  <sheetData>
    <row r="1" spans="1:100" ht="18.75" x14ac:dyDescent="0.3">
      <c r="A1" s="9" t="s">
        <v>307</v>
      </c>
    </row>
    <row r="2" spans="1:100" x14ac:dyDescent="0.25">
      <c r="A2" s="7" t="s">
        <v>173</v>
      </c>
    </row>
    <row r="3" spans="1:100" x14ac:dyDescent="0.25">
      <c r="A3" s="1" t="s">
        <v>0</v>
      </c>
      <c r="B3" s="125" t="s">
        <v>1</v>
      </c>
      <c r="C3" s="125"/>
      <c r="D3" s="125"/>
      <c r="E3" s="125" t="s">
        <v>2</v>
      </c>
      <c r="F3" s="125"/>
      <c r="G3" s="125"/>
      <c r="H3" s="125" t="s">
        <v>3</v>
      </c>
      <c r="I3" s="125"/>
      <c r="J3" s="125"/>
      <c r="K3" s="125" t="s">
        <v>295</v>
      </c>
      <c r="L3" s="125"/>
      <c r="M3" s="125"/>
      <c r="N3" s="117" t="s">
        <v>5</v>
      </c>
      <c r="O3" s="117"/>
      <c r="P3" s="117"/>
      <c r="Q3" s="125" t="s">
        <v>6</v>
      </c>
      <c r="R3" s="125"/>
      <c r="S3" s="125"/>
      <c r="T3" s="125" t="s">
        <v>7</v>
      </c>
      <c r="U3" s="125"/>
      <c r="V3" s="125"/>
      <c r="W3" s="125" t="s">
        <v>309</v>
      </c>
      <c r="X3" s="125"/>
      <c r="Y3" s="125"/>
      <c r="Z3" s="125" t="s">
        <v>9</v>
      </c>
      <c r="AA3" s="125"/>
      <c r="AB3" s="125"/>
      <c r="AC3" s="125" t="s">
        <v>10</v>
      </c>
      <c r="AD3" s="125"/>
      <c r="AE3" s="125"/>
      <c r="AF3" s="125" t="s">
        <v>11</v>
      </c>
      <c r="AG3" s="125"/>
      <c r="AH3" s="125"/>
      <c r="AI3" s="125" t="s">
        <v>12</v>
      </c>
      <c r="AJ3" s="125"/>
      <c r="AK3" s="125"/>
      <c r="AL3" s="125" t="s">
        <v>13</v>
      </c>
      <c r="AM3" s="125"/>
      <c r="AN3" s="125"/>
      <c r="AO3" s="125" t="s">
        <v>14</v>
      </c>
      <c r="AP3" s="125"/>
      <c r="AQ3" s="125"/>
      <c r="AR3" s="125" t="s">
        <v>15</v>
      </c>
      <c r="AS3" s="125"/>
      <c r="AT3" s="125"/>
      <c r="AU3" s="125" t="s">
        <v>16</v>
      </c>
      <c r="AV3" s="125"/>
      <c r="AW3" s="125"/>
      <c r="AX3" s="125" t="s">
        <v>17</v>
      </c>
      <c r="AY3" s="125"/>
      <c r="AZ3" s="125"/>
      <c r="BA3" s="125" t="s">
        <v>18</v>
      </c>
      <c r="BB3" s="125"/>
      <c r="BC3" s="125"/>
      <c r="BD3" s="125" t="s">
        <v>293</v>
      </c>
      <c r="BE3" s="125"/>
      <c r="BF3" s="125"/>
      <c r="BG3" s="125" t="s">
        <v>19</v>
      </c>
      <c r="BH3" s="125"/>
      <c r="BI3" s="125"/>
      <c r="BJ3" s="125" t="s">
        <v>20</v>
      </c>
      <c r="BK3" s="125"/>
      <c r="BL3" s="125"/>
      <c r="BM3" s="125" t="s">
        <v>21</v>
      </c>
      <c r="BN3" s="125"/>
      <c r="BO3" s="125"/>
      <c r="BP3" s="125" t="s">
        <v>22</v>
      </c>
      <c r="BQ3" s="125"/>
      <c r="BR3" s="125"/>
      <c r="BS3" s="125" t="s">
        <v>23</v>
      </c>
      <c r="BT3" s="125"/>
      <c r="BU3" s="125"/>
      <c r="BV3" s="125" t="s">
        <v>24</v>
      </c>
      <c r="BW3" s="125"/>
      <c r="BX3" s="125"/>
      <c r="BY3" s="125" t="s">
        <v>25</v>
      </c>
      <c r="BZ3" s="125"/>
      <c r="CA3" s="125"/>
      <c r="CB3" s="125" t="s">
        <v>26</v>
      </c>
      <c r="CC3" s="125"/>
      <c r="CD3" s="125"/>
      <c r="CE3" s="125" t="s">
        <v>27</v>
      </c>
      <c r="CF3" s="125"/>
      <c r="CG3" s="125"/>
      <c r="CH3" s="125" t="s">
        <v>28</v>
      </c>
      <c r="CI3" s="125"/>
      <c r="CJ3" s="125"/>
      <c r="CK3" s="125" t="s">
        <v>29</v>
      </c>
      <c r="CL3" s="125"/>
      <c r="CM3" s="125"/>
      <c r="CN3" s="125" t="s">
        <v>30</v>
      </c>
      <c r="CO3" s="125"/>
      <c r="CP3" s="125"/>
      <c r="CQ3" s="125" t="s">
        <v>31</v>
      </c>
      <c r="CR3" s="125"/>
      <c r="CS3" s="125"/>
      <c r="CT3" s="125" t="s">
        <v>32</v>
      </c>
      <c r="CU3" s="125"/>
      <c r="CV3" s="125"/>
    </row>
    <row r="4" spans="1:100" x14ac:dyDescent="0.25">
      <c r="A4" s="10"/>
      <c r="B4" s="40" t="s">
        <v>160</v>
      </c>
      <c r="C4" s="40" t="s">
        <v>161</v>
      </c>
      <c r="D4" s="40" t="s">
        <v>162</v>
      </c>
      <c r="E4" s="40" t="s">
        <v>160</v>
      </c>
      <c r="F4" s="40" t="s">
        <v>161</v>
      </c>
      <c r="G4" s="40" t="s">
        <v>162</v>
      </c>
      <c r="H4" s="40" t="s">
        <v>160</v>
      </c>
      <c r="I4" s="40" t="s">
        <v>161</v>
      </c>
      <c r="J4" s="40" t="s">
        <v>162</v>
      </c>
      <c r="K4" s="40" t="s">
        <v>160</v>
      </c>
      <c r="L4" s="40" t="s">
        <v>161</v>
      </c>
      <c r="M4" s="40" t="s">
        <v>162</v>
      </c>
      <c r="N4" s="40" t="s">
        <v>160</v>
      </c>
      <c r="O4" s="40" t="s">
        <v>161</v>
      </c>
      <c r="P4" s="40" t="s">
        <v>162</v>
      </c>
      <c r="Q4" s="40" t="s">
        <v>160</v>
      </c>
      <c r="R4" s="40" t="s">
        <v>161</v>
      </c>
      <c r="S4" s="40" t="s">
        <v>162</v>
      </c>
      <c r="T4" s="40" t="s">
        <v>160</v>
      </c>
      <c r="U4" s="40" t="s">
        <v>161</v>
      </c>
      <c r="V4" s="40" t="s">
        <v>162</v>
      </c>
      <c r="W4" s="40" t="s">
        <v>160</v>
      </c>
      <c r="X4" s="40" t="s">
        <v>161</v>
      </c>
      <c r="Y4" s="40" t="s">
        <v>162</v>
      </c>
      <c r="Z4" s="40" t="s">
        <v>160</v>
      </c>
      <c r="AA4" s="40" t="s">
        <v>161</v>
      </c>
      <c r="AB4" s="40" t="s">
        <v>162</v>
      </c>
      <c r="AC4" s="40" t="s">
        <v>160</v>
      </c>
      <c r="AD4" s="40" t="s">
        <v>161</v>
      </c>
      <c r="AE4" s="40" t="s">
        <v>162</v>
      </c>
      <c r="AF4" s="40" t="s">
        <v>160</v>
      </c>
      <c r="AG4" s="40" t="s">
        <v>161</v>
      </c>
      <c r="AH4" s="40" t="s">
        <v>162</v>
      </c>
      <c r="AI4" s="40" t="s">
        <v>160</v>
      </c>
      <c r="AJ4" s="40" t="s">
        <v>161</v>
      </c>
      <c r="AK4" s="40" t="s">
        <v>162</v>
      </c>
      <c r="AL4" s="40" t="s">
        <v>160</v>
      </c>
      <c r="AM4" s="40" t="s">
        <v>161</v>
      </c>
      <c r="AN4" s="40" t="s">
        <v>162</v>
      </c>
      <c r="AO4" s="40" t="s">
        <v>160</v>
      </c>
      <c r="AP4" s="40" t="s">
        <v>161</v>
      </c>
      <c r="AQ4" s="40" t="s">
        <v>162</v>
      </c>
      <c r="AR4" s="40" t="s">
        <v>160</v>
      </c>
      <c r="AS4" s="40" t="s">
        <v>161</v>
      </c>
      <c r="AT4" s="40" t="s">
        <v>162</v>
      </c>
      <c r="AU4" s="40" t="s">
        <v>160</v>
      </c>
      <c r="AV4" s="40" t="s">
        <v>161</v>
      </c>
      <c r="AW4" s="40" t="s">
        <v>162</v>
      </c>
      <c r="AX4" s="40" t="s">
        <v>160</v>
      </c>
      <c r="AY4" s="40" t="s">
        <v>161</v>
      </c>
      <c r="AZ4" s="40" t="s">
        <v>162</v>
      </c>
      <c r="BA4" s="40" t="s">
        <v>160</v>
      </c>
      <c r="BB4" s="40" t="s">
        <v>161</v>
      </c>
      <c r="BC4" s="40" t="s">
        <v>162</v>
      </c>
      <c r="BD4" s="40" t="s">
        <v>160</v>
      </c>
      <c r="BE4" s="40" t="s">
        <v>161</v>
      </c>
      <c r="BF4" s="40" t="s">
        <v>162</v>
      </c>
      <c r="BG4" s="40" t="s">
        <v>160</v>
      </c>
      <c r="BH4" s="40" t="s">
        <v>161</v>
      </c>
      <c r="BI4" s="40" t="s">
        <v>162</v>
      </c>
      <c r="BJ4" s="40" t="s">
        <v>160</v>
      </c>
      <c r="BK4" s="40" t="s">
        <v>161</v>
      </c>
      <c r="BL4" s="40" t="s">
        <v>162</v>
      </c>
      <c r="BM4" s="40" t="s">
        <v>160</v>
      </c>
      <c r="BN4" s="40" t="s">
        <v>161</v>
      </c>
      <c r="BO4" s="40" t="s">
        <v>162</v>
      </c>
      <c r="BP4" s="40" t="s">
        <v>160</v>
      </c>
      <c r="BQ4" s="40" t="s">
        <v>161</v>
      </c>
      <c r="BR4" s="40" t="s">
        <v>162</v>
      </c>
      <c r="BS4" s="40" t="s">
        <v>160</v>
      </c>
      <c r="BT4" s="40" t="s">
        <v>161</v>
      </c>
      <c r="BU4" s="40" t="s">
        <v>162</v>
      </c>
      <c r="BV4" s="40" t="s">
        <v>160</v>
      </c>
      <c r="BW4" s="40" t="s">
        <v>161</v>
      </c>
      <c r="BX4" s="40" t="s">
        <v>162</v>
      </c>
      <c r="BY4" s="40" t="s">
        <v>160</v>
      </c>
      <c r="BZ4" s="40" t="s">
        <v>161</v>
      </c>
      <c r="CA4" s="40" t="s">
        <v>162</v>
      </c>
      <c r="CB4" s="40" t="s">
        <v>160</v>
      </c>
      <c r="CC4" s="40" t="s">
        <v>161</v>
      </c>
      <c r="CD4" s="40" t="s">
        <v>162</v>
      </c>
      <c r="CE4" s="40" t="s">
        <v>160</v>
      </c>
      <c r="CF4" s="40" t="s">
        <v>161</v>
      </c>
      <c r="CG4" s="40" t="s">
        <v>162</v>
      </c>
      <c r="CH4" s="40" t="s">
        <v>160</v>
      </c>
      <c r="CI4" s="40" t="s">
        <v>161</v>
      </c>
      <c r="CJ4" s="40" t="s">
        <v>162</v>
      </c>
      <c r="CK4" s="40" t="s">
        <v>160</v>
      </c>
      <c r="CL4" s="40" t="s">
        <v>161</v>
      </c>
      <c r="CM4" s="40" t="s">
        <v>162</v>
      </c>
      <c r="CN4" s="40" t="s">
        <v>160</v>
      </c>
      <c r="CO4" s="40" t="s">
        <v>161</v>
      </c>
      <c r="CP4" s="40" t="s">
        <v>162</v>
      </c>
      <c r="CQ4" s="40" t="s">
        <v>160</v>
      </c>
      <c r="CR4" s="40" t="s">
        <v>161</v>
      </c>
      <c r="CS4" s="40" t="s">
        <v>162</v>
      </c>
      <c r="CT4" s="40" t="s">
        <v>160</v>
      </c>
      <c r="CU4" s="40" t="s">
        <v>161</v>
      </c>
      <c r="CV4" s="40" t="s">
        <v>162</v>
      </c>
    </row>
    <row r="5" spans="1:100" x14ac:dyDescent="0.25">
      <c r="A5" s="10" t="s">
        <v>163</v>
      </c>
      <c r="B5" s="10">
        <v>128</v>
      </c>
      <c r="C5" s="10">
        <f>D5-B5</f>
        <v>16999</v>
      </c>
      <c r="D5" s="10">
        <v>17127</v>
      </c>
      <c r="E5" s="10"/>
      <c r="F5" s="10">
        <f>G5-E5</f>
        <v>7925</v>
      </c>
      <c r="G5" s="97">
        <v>7925</v>
      </c>
      <c r="H5" s="10"/>
      <c r="I5" s="10">
        <f>J5-H5</f>
        <v>4581088</v>
      </c>
      <c r="J5" s="10">
        <v>4581088</v>
      </c>
      <c r="K5" s="10"/>
      <c r="L5" s="10">
        <f>M5-K5</f>
        <v>21923</v>
      </c>
      <c r="M5" s="10">
        <v>21923</v>
      </c>
      <c r="N5" s="10">
        <v>51407</v>
      </c>
      <c r="O5" s="10">
        <f>P5-N5</f>
        <v>150774</v>
      </c>
      <c r="P5" s="10">
        <v>202181</v>
      </c>
      <c r="Q5" s="10">
        <v>12580</v>
      </c>
      <c r="R5" s="10">
        <f>S5-Q5</f>
        <v>21558</v>
      </c>
      <c r="S5" s="10">
        <v>34138</v>
      </c>
      <c r="T5" s="10">
        <v>29240</v>
      </c>
      <c r="U5" s="10">
        <f>V5-T5</f>
        <v>37760</v>
      </c>
      <c r="V5" s="10">
        <v>67000</v>
      </c>
      <c r="W5" s="10">
        <v>54</v>
      </c>
      <c r="X5" s="10">
        <f>Y5-W5</f>
        <v>942</v>
      </c>
      <c r="Y5" s="10">
        <v>996</v>
      </c>
      <c r="Z5" s="10">
        <v>79</v>
      </c>
      <c r="AA5" s="10">
        <f>AB5-Z5</f>
        <v>211</v>
      </c>
      <c r="AB5" s="10">
        <v>290</v>
      </c>
      <c r="AC5" s="10"/>
      <c r="AD5" s="10">
        <f>AE5-AC5</f>
        <v>899</v>
      </c>
      <c r="AE5" s="10">
        <v>899</v>
      </c>
      <c r="AF5" s="36">
        <v>7912</v>
      </c>
      <c r="AG5" s="10">
        <f>AH5-AF5</f>
        <v>26816</v>
      </c>
      <c r="AH5" s="36">
        <v>34728</v>
      </c>
      <c r="AI5" s="10">
        <v>1304</v>
      </c>
      <c r="AJ5" s="10">
        <f>AK5-AI5</f>
        <v>8135</v>
      </c>
      <c r="AK5" s="10">
        <v>9439</v>
      </c>
      <c r="AL5" s="10">
        <v>31722</v>
      </c>
      <c r="AM5" s="10">
        <f>AN5-AL5</f>
        <v>113188</v>
      </c>
      <c r="AN5" s="10">
        <v>144910</v>
      </c>
      <c r="AO5" s="10">
        <v>51169</v>
      </c>
      <c r="AP5" s="10">
        <f>AQ5-AO5</f>
        <v>164384</v>
      </c>
      <c r="AQ5" s="10">
        <v>215553</v>
      </c>
      <c r="AR5" s="10">
        <v>33744</v>
      </c>
      <c r="AS5" s="10">
        <f>AT5-AR5</f>
        <v>38968</v>
      </c>
      <c r="AT5" s="36">
        <v>72712</v>
      </c>
      <c r="AU5" s="10">
        <v>638</v>
      </c>
      <c r="AV5" s="10">
        <f>AW5-AU5</f>
        <v>3157</v>
      </c>
      <c r="AW5" s="10">
        <v>3795</v>
      </c>
      <c r="AX5" s="10">
        <v>4450</v>
      </c>
      <c r="AY5" s="10">
        <f>AZ5-AX5</f>
        <v>9419</v>
      </c>
      <c r="AZ5" s="10">
        <v>13869</v>
      </c>
      <c r="BA5" s="10">
        <v>6319</v>
      </c>
      <c r="BB5" s="10">
        <f>BC5-BA5</f>
        <v>4619</v>
      </c>
      <c r="BC5" s="10">
        <v>10938</v>
      </c>
      <c r="BD5" s="10"/>
      <c r="BE5" s="10">
        <f>BF5-BD5</f>
        <v>4372</v>
      </c>
      <c r="BF5" s="10">
        <v>4372</v>
      </c>
      <c r="BG5" s="10"/>
      <c r="BH5" s="10">
        <f>BI5-BG5</f>
        <v>3161</v>
      </c>
      <c r="BI5" s="10">
        <v>3161</v>
      </c>
      <c r="BJ5" s="155">
        <v>131069</v>
      </c>
      <c r="BK5" s="10">
        <f>BL5-BJ5</f>
        <v>771615</v>
      </c>
      <c r="BL5" s="155">
        <v>902684</v>
      </c>
      <c r="BM5" s="10">
        <v>153770</v>
      </c>
      <c r="BN5" s="10">
        <f>BO5-BM5</f>
        <v>294354</v>
      </c>
      <c r="BO5" s="10">
        <v>448124</v>
      </c>
      <c r="BP5" s="10">
        <v>97778</v>
      </c>
      <c r="BQ5" s="10">
        <f>BR5-BP5</f>
        <v>245467</v>
      </c>
      <c r="BR5" s="10">
        <v>343245</v>
      </c>
      <c r="BS5" s="10">
        <v>428</v>
      </c>
      <c r="BT5" s="10">
        <f>BU5-BS5</f>
        <v>260</v>
      </c>
      <c r="BU5" s="10">
        <v>688</v>
      </c>
      <c r="BV5" s="10">
        <v>60526</v>
      </c>
      <c r="BW5" s="10">
        <f>BX5-BV5</f>
        <v>322559</v>
      </c>
      <c r="BX5" s="10">
        <v>383085</v>
      </c>
      <c r="BY5" s="10"/>
      <c r="BZ5" s="10">
        <f>CA5-BY5</f>
        <v>12647</v>
      </c>
      <c r="CA5" s="10">
        <v>12647</v>
      </c>
      <c r="CB5" s="10">
        <v>20555</v>
      </c>
      <c r="CC5" s="10">
        <f>CD5-CB5</f>
        <v>27160</v>
      </c>
      <c r="CD5" s="10">
        <v>47715</v>
      </c>
      <c r="CE5" s="10">
        <v>7002</v>
      </c>
      <c r="CF5" s="10">
        <f>CG5-CE5</f>
        <v>33422</v>
      </c>
      <c r="CG5" s="10">
        <v>40424</v>
      </c>
      <c r="CH5" s="10">
        <v>44094</v>
      </c>
      <c r="CI5" s="10">
        <f>CJ5-CH5</f>
        <v>17737</v>
      </c>
      <c r="CJ5" s="10">
        <v>61831</v>
      </c>
      <c r="CK5" s="10"/>
      <c r="CL5" s="10">
        <f>CM5-CK5</f>
        <v>80380</v>
      </c>
      <c r="CM5" s="10">
        <v>80380</v>
      </c>
      <c r="CN5" s="10">
        <v>20176</v>
      </c>
      <c r="CO5" s="10">
        <f>CP5-CN5</f>
        <v>73726</v>
      </c>
      <c r="CP5" s="30">
        <v>93902</v>
      </c>
      <c r="CQ5" s="10">
        <v>176175</v>
      </c>
      <c r="CR5" s="10">
        <f>CS5-CQ5</f>
        <v>613597</v>
      </c>
      <c r="CS5" s="10">
        <v>789772</v>
      </c>
      <c r="CT5" s="10">
        <v>6929</v>
      </c>
      <c r="CU5" s="10">
        <f>CV5-CT5</f>
        <v>4270</v>
      </c>
      <c r="CV5" s="10">
        <v>11199</v>
      </c>
    </row>
    <row r="6" spans="1:100" x14ac:dyDescent="0.25">
      <c r="A6" s="10" t="s">
        <v>164</v>
      </c>
      <c r="B6" s="10">
        <v>94</v>
      </c>
      <c r="C6" s="10">
        <f t="shared" ref="C6:C14" si="0">D6-B6</f>
        <v>45659</v>
      </c>
      <c r="D6" s="10">
        <v>45753</v>
      </c>
      <c r="E6" s="10"/>
      <c r="F6" s="10">
        <f t="shared" ref="F6:F14" si="1">G6-E6</f>
        <v>22960</v>
      </c>
      <c r="G6" s="97">
        <v>22960</v>
      </c>
      <c r="H6" s="10"/>
      <c r="I6" s="10">
        <f t="shared" ref="I6:I14" si="2">J6-H6</f>
        <v>10065848</v>
      </c>
      <c r="J6" s="10">
        <v>10065848</v>
      </c>
      <c r="K6" s="10"/>
      <c r="L6" s="10">
        <f t="shared" ref="L6:L14" si="3">M6-K6</f>
        <v>479207</v>
      </c>
      <c r="M6" s="10">
        <v>479207</v>
      </c>
      <c r="N6" s="10">
        <v>4771</v>
      </c>
      <c r="O6" s="10">
        <f t="shared" ref="O6:O14" si="4">P6-N6</f>
        <v>1431504</v>
      </c>
      <c r="P6" s="10">
        <v>1436275</v>
      </c>
      <c r="Q6" s="10">
        <v>1184</v>
      </c>
      <c r="R6" s="10">
        <f t="shared" ref="R6:R14" si="5">S6-Q6</f>
        <v>77160</v>
      </c>
      <c r="S6" s="10">
        <v>78344</v>
      </c>
      <c r="T6" s="10">
        <v>4370</v>
      </c>
      <c r="U6" s="10">
        <f t="shared" ref="U6:U14" si="6">V6-T6</f>
        <v>71327</v>
      </c>
      <c r="V6" s="10">
        <v>75697</v>
      </c>
      <c r="W6" s="10">
        <v>77</v>
      </c>
      <c r="X6" s="10">
        <f t="shared" ref="X6:X14" si="7">Y6-W6</f>
        <v>3767</v>
      </c>
      <c r="Y6" s="10">
        <v>3844</v>
      </c>
      <c r="Z6" s="10">
        <v>45</v>
      </c>
      <c r="AA6" s="10">
        <f t="shared" ref="AA6:AA14" si="8">AB6-Z6</f>
        <v>5292</v>
      </c>
      <c r="AB6" s="10">
        <v>5337</v>
      </c>
      <c r="AC6" s="10"/>
      <c r="AD6" s="10">
        <f t="shared" ref="AD6:AD14" si="9">AE6-AC6</f>
        <v>452</v>
      </c>
      <c r="AE6" s="10">
        <v>452</v>
      </c>
      <c r="AF6" s="36">
        <v>1099</v>
      </c>
      <c r="AG6" s="10">
        <f t="shared" ref="AG6:AG14" si="10">AH6-AF6</f>
        <v>64090</v>
      </c>
      <c r="AH6" s="36">
        <v>65189</v>
      </c>
      <c r="AI6" s="10">
        <v>1706</v>
      </c>
      <c r="AJ6" s="10">
        <f t="shared" ref="AJ6:AJ14" si="11">AK6-AI6</f>
        <v>77918</v>
      </c>
      <c r="AK6" s="10">
        <v>79624</v>
      </c>
      <c r="AL6" s="10">
        <v>2827</v>
      </c>
      <c r="AM6" s="10">
        <f t="shared" ref="AM6:AM14" si="12">AN6-AL6</f>
        <v>458977</v>
      </c>
      <c r="AN6" s="10">
        <v>461804</v>
      </c>
      <c r="AO6" s="10">
        <v>6047</v>
      </c>
      <c r="AP6" s="10">
        <f t="shared" ref="AP6:AP14" si="13">AQ6-AO6</f>
        <v>460801</v>
      </c>
      <c r="AQ6" s="10">
        <v>466848</v>
      </c>
      <c r="AR6" s="10">
        <v>20706</v>
      </c>
      <c r="AS6" s="10">
        <f t="shared" ref="AS6:AS14" si="14">AT6-AR6</f>
        <v>1076859</v>
      </c>
      <c r="AT6" s="36">
        <v>1097565</v>
      </c>
      <c r="AU6" s="10">
        <v>111</v>
      </c>
      <c r="AV6" s="10">
        <f t="shared" ref="AV6:AV14" si="15">AW6-AU6</f>
        <v>13666</v>
      </c>
      <c r="AW6" s="10">
        <v>13777</v>
      </c>
      <c r="AX6" s="10">
        <v>839</v>
      </c>
      <c r="AY6" s="10">
        <f t="shared" ref="AY6:AY14" si="16">AZ6-AX6</f>
        <v>65439</v>
      </c>
      <c r="AZ6" s="10">
        <v>66278</v>
      </c>
      <c r="BA6" s="10">
        <v>1181</v>
      </c>
      <c r="BB6" s="10">
        <f t="shared" ref="BB6:BB14" si="17">BC6-BA6</f>
        <v>18653</v>
      </c>
      <c r="BC6" s="10">
        <v>19834</v>
      </c>
      <c r="BD6" s="10"/>
      <c r="BE6" s="10">
        <f t="shared" ref="BE6:BE14" si="18">BF6-BD6</f>
        <v>60959</v>
      </c>
      <c r="BF6" s="10">
        <v>60959</v>
      </c>
      <c r="BG6" s="10"/>
      <c r="BH6" s="10">
        <f t="shared" ref="BH6:BH14" si="19">BI6-BG6</f>
        <v>37002</v>
      </c>
      <c r="BI6" s="10">
        <v>37002</v>
      </c>
      <c r="BJ6" s="155">
        <v>53389</v>
      </c>
      <c r="BK6" s="10">
        <f t="shared" ref="BK6:BK14" si="20">BL6-BJ6</f>
        <v>2875782</v>
      </c>
      <c r="BL6" s="155">
        <v>2929171</v>
      </c>
      <c r="BM6" s="10">
        <v>23458</v>
      </c>
      <c r="BN6" s="10">
        <f t="shared" ref="BN6:BN14" si="21">BO6-BM6</f>
        <v>1227711</v>
      </c>
      <c r="BO6" s="10">
        <v>1251169</v>
      </c>
      <c r="BP6" s="10">
        <v>14692</v>
      </c>
      <c r="BQ6" s="10">
        <f t="shared" ref="BQ6:BQ14" si="22">BR6-BP6</f>
        <v>507628</v>
      </c>
      <c r="BR6" s="10">
        <v>522320</v>
      </c>
      <c r="BS6" s="10"/>
      <c r="BT6" s="10">
        <f t="shared" ref="BT6:BT14" si="23">BU6-BS6</f>
        <v>379</v>
      </c>
      <c r="BU6" s="10">
        <v>379</v>
      </c>
      <c r="BV6" s="10">
        <v>4191</v>
      </c>
      <c r="BW6" s="10">
        <f t="shared" ref="BW6:BW14" si="24">BX6-BV6</f>
        <v>477705</v>
      </c>
      <c r="BX6" s="10">
        <v>481896</v>
      </c>
      <c r="BY6" s="10"/>
      <c r="BZ6" s="10">
        <f t="shared" ref="BZ6:BZ14" si="25">CA6-BY6</f>
        <v>103209</v>
      </c>
      <c r="CA6" s="10">
        <v>103209</v>
      </c>
      <c r="CB6" s="10">
        <v>1867</v>
      </c>
      <c r="CC6" s="10">
        <f t="shared" ref="CC6:CC14" si="26">CD6-CB6</f>
        <v>93756</v>
      </c>
      <c r="CD6" s="10">
        <v>95623</v>
      </c>
      <c r="CE6" s="10">
        <v>1581</v>
      </c>
      <c r="CF6" s="10">
        <f t="shared" ref="CF6:CF14" si="27">CG6-CE6</f>
        <v>112129</v>
      </c>
      <c r="CG6" s="10">
        <v>113710</v>
      </c>
      <c r="CH6" s="10">
        <v>3415</v>
      </c>
      <c r="CI6" s="10">
        <f t="shared" ref="CI6:CI14" si="28">CJ6-CH6</f>
        <v>39396</v>
      </c>
      <c r="CJ6" s="10">
        <v>42811</v>
      </c>
      <c r="CK6" s="10"/>
      <c r="CL6" s="10">
        <f t="shared" ref="CL6:CL14" si="29">CM6-CK6</f>
        <v>260809</v>
      </c>
      <c r="CM6" s="10">
        <v>260809</v>
      </c>
      <c r="CN6" s="10">
        <v>5180</v>
      </c>
      <c r="CO6" s="10">
        <f t="shared" ref="CO6:CO14" si="30">CP6-CN6</f>
        <v>299052</v>
      </c>
      <c r="CP6" s="10">
        <v>304232</v>
      </c>
      <c r="CQ6" s="10">
        <v>18303</v>
      </c>
      <c r="CR6" s="10">
        <f t="shared" ref="CR6:CR14" si="31">CS6-CQ6</f>
        <v>1025598</v>
      </c>
      <c r="CS6" s="10">
        <v>1043901</v>
      </c>
      <c r="CT6" s="10">
        <v>3204</v>
      </c>
      <c r="CU6" s="10">
        <f t="shared" ref="CU6:CU14" si="32">CV6-CT6</f>
        <v>182140</v>
      </c>
      <c r="CV6" s="10">
        <v>185344</v>
      </c>
    </row>
    <row r="7" spans="1:100" x14ac:dyDescent="0.25">
      <c r="A7" s="10" t="s">
        <v>165</v>
      </c>
      <c r="B7" s="10">
        <v>37</v>
      </c>
      <c r="C7" s="10">
        <f t="shared" si="0"/>
        <v>40634</v>
      </c>
      <c r="D7" s="10">
        <v>40671</v>
      </c>
      <c r="E7" s="10"/>
      <c r="F7" s="10">
        <f t="shared" si="1"/>
        <v>21994</v>
      </c>
      <c r="G7" s="97">
        <v>21994</v>
      </c>
      <c r="H7" s="10"/>
      <c r="I7" s="10">
        <f t="shared" si="2"/>
        <v>5860945</v>
      </c>
      <c r="J7" s="10">
        <v>5860945</v>
      </c>
      <c r="K7" s="10"/>
      <c r="L7" s="10">
        <f t="shared" si="3"/>
        <v>436484</v>
      </c>
      <c r="M7" s="10">
        <v>436484</v>
      </c>
      <c r="N7" s="10">
        <v>1983</v>
      </c>
      <c r="O7" s="10">
        <f t="shared" si="4"/>
        <v>1238191</v>
      </c>
      <c r="P7" s="10">
        <v>1240174</v>
      </c>
      <c r="Q7" s="10">
        <v>2523</v>
      </c>
      <c r="R7" s="10">
        <f t="shared" si="5"/>
        <v>70778</v>
      </c>
      <c r="S7" s="10">
        <v>73301</v>
      </c>
      <c r="T7" s="10">
        <v>3157</v>
      </c>
      <c r="U7" s="10">
        <f t="shared" si="6"/>
        <v>67366</v>
      </c>
      <c r="V7" s="10">
        <v>70523</v>
      </c>
      <c r="W7" s="10">
        <v>1</v>
      </c>
      <c r="X7" s="10">
        <f t="shared" si="7"/>
        <v>3570</v>
      </c>
      <c r="Y7" s="10">
        <v>3571</v>
      </c>
      <c r="Z7" s="10">
        <v>1</v>
      </c>
      <c r="AA7" s="10">
        <f t="shared" si="8"/>
        <v>4335</v>
      </c>
      <c r="AB7" s="10">
        <v>4336</v>
      </c>
      <c r="AC7" s="10"/>
      <c r="AD7" s="10">
        <f t="shared" si="9"/>
        <v>153</v>
      </c>
      <c r="AE7" s="10">
        <v>153</v>
      </c>
      <c r="AF7" s="36">
        <v>487</v>
      </c>
      <c r="AG7" s="10">
        <f t="shared" si="10"/>
        <v>61201</v>
      </c>
      <c r="AH7" s="36">
        <v>61688</v>
      </c>
      <c r="AI7" s="10">
        <v>902</v>
      </c>
      <c r="AJ7" s="10">
        <f t="shared" si="11"/>
        <v>68645</v>
      </c>
      <c r="AK7" s="10">
        <v>69547</v>
      </c>
      <c r="AL7" s="10">
        <v>1588</v>
      </c>
      <c r="AM7" s="10">
        <f t="shared" si="12"/>
        <v>496264</v>
      </c>
      <c r="AN7" s="10">
        <v>497852</v>
      </c>
      <c r="AO7" s="10">
        <v>3804</v>
      </c>
      <c r="AP7" s="10">
        <f t="shared" si="13"/>
        <v>419787</v>
      </c>
      <c r="AQ7" s="10">
        <v>423591</v>
      </c>
      <c r="AR7" s="10">
        <v>19258</v>
      </c>
      <c r="AS7" s="10">
        <f t="shared" si="14"/>
        <v>1063275</v>
      </c>
      <c r="AT7" s="36">
        <v>1082533</v>
      </c>
      <c r="AU7" s="10">
        <v>16</v>
      </c>
      <c r="AV7" s="10">
        <f t="shared" si="15"/>
        <v>11812</v>
      </c>
      <c r="AW7" s="10">
        <v>11828</v>
      </c>
      <c r="AX7" s="10">
        <v>236</v>
      </c>
      <c r="AY7" s="10">
        <f t="shared" si="16"/>
        <v>56927</v>
      </c>
      <c r="AZ7" s="10">
        <v>57163</v>
      </c>
      <c r="BA7" s="10">
        <v>830</v>
      </c>
      <c r="BB7" s="10">
        <f t="shared" si="17"/>
        <v>16640</v>
      </c>
      <c r="BC7" s="10">
        <v>17470</v>
      </c>
      <c r="BD7" s="10"/>
      <c r="BE7" s="10">
        <f t="shared" si="18"/>
        <v>54552</v>
      </c>
      <c r="BF7" s="10">
        <v>54552</v>
      </c>
      <c r="BG7" s="10"/>
      <c r="BH7" s="10">
        <f t="shared" si="19"/>
        <v>34833</v>
      </c>
      <c r="BI7" s="10">
        <v>34833</v>
      </c>
      <c r="BJ7" s="155">
        <v>17761</v>
      </c>
      <c r="BK7" s="10">
        <f t="shared" si="20"/>
        <v>2688191</v>
      </c>
      <c r="BL7" s="155">
        <v>2705952</v>
      </c>
      <c r="BM7" s="10">
        <v>25132</v>
      </c>
      <c r="BN7" s="10">
        <f t="shared" si="21"/>
        <v>1273923</v>
      </c>
      <c r="BO7" s="10">
        <v>1299055</v>
      </c>
      <c r="BP7" s="10">
        <v>19525</v>
      </c>
      <c r="BQ7" s="10">
        <f t="shared" si="22"/>
        <v>521400</v>
      </c>
      <c r="BR7" s="10">
        <v>540925</v>
      </c>
      <c r="BS7" s="10"/>
      <c r="BT7" s="10">
        <f t="shared" si="23"/>
        <v>240</v>
      </c>
      <c r="BU7" s="10">
        <v>240</v>
      </c>
      <c r="BV7" s="10">
        <v>4272</v>
      </c>
      <c r="BW7" s="10">
        <f t="shared" si="24"/>
        <v>461181</v>
      </c>
      <c r="BX7" s="10">
        <v>465453</v>
      </c>
      <c r="BY7" s="10"/>
      <c r="BZ7" s="10">
        <f t="shared" si="25"/>
        <v>87943</v>
      </c>
      <c r="CA7" s="10">
        <v>87943</v>
      </c>
      <c r="CB7" s="10">
        <v>1543</v>
      </c>
      <c r="CC7" s="10">
        <f t="shared" si="26"/>
        <v>93148</v>
      </c>
      <c r="CD7" s="10">
        <v>94691</v>
      </c>
      <c r="CE7" s="10">
        <v>733</v>
      </c>
      <c r="CF7" s="10">
        <f t="shared" si="27"/>
        <v>104786</v>
      </c>
      <c r="CG7" s="10">
        <v>105519</v>
      </c>
      <c r="CH7" s="10">
        <v>4178</v>
      </c>
      <c r="CI7" s="10">
        <f t="shared" si="28"/>
        <v>33423</v>
      </c>
      <c r="CJ7" s="10">
        <v>37601</v>
      </c>
      <c r="CK7" s="10"/>
      <c r="CL7" s="10">
        <f t="shared" si="29"/>
        <v>229766</v>
      </c>
      <c r="CM7" s="10">
        <v>229766</v>
      </c>
      <c r="CN7" s="10">
        <v>1871</v>
      </c>
      <c r="CO7" s="10">
        <f t="shared" si="30"/>
        <v>289219</v>
      </c>
      <c r="CP7" s="10">
        <v>291090</v>
      </c>
      <c r="CQ7" s="10">
        <v>15915</v>
      </c>
      <c r="CR7" s="10">
        <f t="shared" si="31"/>
        <v>1046678</v>
      </c>
      <c r="CS7" s="10">
        <v>1062593</v>
      </c>
      <c r="CT7" s="10">
        <v>1526</v>
      </c>
      <c r="CU7" s="10">
        <f t="shared" si="32"/>
        <v>156045</v>
      </c>
      <c r="CV7" s="10">
        <v>157571</v>
      </c>
    </row>
    <row r="8" spans="1:100" x14ac:dyDescent="0.25">
      <c r="A8" s="10" t="s">
        <v>166</v>
      </c>
      <c r="B8" s="10"/>
      <c r="C8" s="10">
        <f t="shared" si="0"/>
        <v>2317</v>
      </c>
      <c r="D8" s="10">
        <v>2317</v>
      </c>
      <c r="E8" s="10"/>
      <c r="F8" s="10">
        <f t="shared" si="1"/>
        <v>3808</v>
      </c>
      <c r="G8" s="10">
        <v>3808</v>
      </c>
      <c r="H8" s="10"/>
      <c r="I8" s="10">
        <f t="shared" si="2"/>
        <v>0</v>
      </c>
      <c r="J8" s="10">
        <v>0</v>
      </c>
      <c r="K8" s="10"/>
      <c r="L8" s="10">
        <f t="shared" si="3"/>
        <v>38137</v>
      </c>
      <c r="M8" s="10">
        <v>38137</v>
      </c>
      <c r="N8" s="10">
        <v>702</v>
      </c>
      <c r="O8" s="10">
        <f t="shared" si="4"/>
        <v>18833</v>
      </c>
      <c r="P8" s="10">
        <v>19535</v>
      </c>
      <c r="Q8" s="10">
        <v>0</v>
      </c>
      <c r="R8" s="10">
        <f t="shared" si="5"/>
        <v>2283</v>
      </c>
      <c r="S8" s="10">
        <v>2283</v>
      </c>
      <c r="U8" s="10">
        <f t="shared" si="6"/>
        <v>5234</v>
      </c>
      <c r="V8" s="10">
        <v>5234</v>
      </c>
      <c r="W8" s="10"/>
      <c r="X8" s="10">
        <f t="shared" si="7"/>
        <v>55</v>
      </c>
      <c r="Y8" s="10">
        <v>55</v>
      </c>
      <c r="Z8" s="10"/>
      <c r="AA8" s="10">
        <f t="shared" si="8"/>
        <v>61</v>
      </c>
      <c r="AB8" s="10">
        <v>61</v>
      </c>
      <c r="AC8" s="10"/>
      <c r="AD8" s="10">
        <f t="shared" si="9"/>
        <v>386</v>
      </c>
      <c r="AE8" s="10">
        <v>386</v>
      </c>
      <c r="AF8" s="36">
        <v>84</v>
      </c>
      <c r="AG8" s="10">
        <f t="shared" si="10"/>
        <v>3779</v>
      </c>
      <c r="AH8" s="36">
        <v>3863</v>
      </c>
      <c r="AI8" s="10">
        <v>4</v>
      </c>
      <c r="AJ8" s="10">
        <f t="shared" si="11"/>
        <v>5601</v>
      </c>
      <c r="AK8" s="10">
        <v>5605</v>
      </c>
      <c r="AL8" s="10">
        <v>580</v>
      </c>
      <c r="AM8" s="10">
        <f t="shared" si="12"/>
        <v>2479</v>
      </c>
      <c r="AN8" s="10">
        <v>3059</v>
      </c>
      <c r="AO8" s="10">
        <v>754</v>
      </c>
      <c r="AP8" s="10">
        <f t="shared" si="13"/>
        <v>25803</v>
      </c>
      <c r="AQ8" s="10">
        <v>26557</v>
      </c>
      <c r="AR8" s="10"/>
      <c r="AS8" s="10">
        <f t="shared" si="14"/>
        <v>42823</v>
      </c>
      <c r="AT8" s="36">
        <v>42823</v>
      </c>
      <c r="AU8" s="10">
        <v>11</v>
      </c>
      <c r="AV8" s="10">
        <f t="shared" si="15"/>
        <v>1856</v>
      </c>
      <c r="AW8" s="10">
        <v>1867</v>
      </c>
      <c r="AX8" s="10">
        <v>1</v>
      </c>
      <c r="AY8" s="10">
        <f t="shared" si="16"/>
        <v>3560</v>
      </c>
      <c r="AZ8" s="10">
        <v>3561</v>
      </c>
      <c r="BA8" s="10"/>
      <c r="BB8" s="10">
        <f t="shared" si="17"/>
        <v>673</v>
      </c>
      <c r="BC8" s="10">
        <v>673</v>
      </c>
      <c r="BD8" s="10"/>
      <c r="BE8" s="10">
        <f t="shared" si="18"/>
        <v>8451</v>
      </c>
      <c r="BF8" s="10">
        <v>8451</v>
      </c>
      <c r="BG8" s="10"/>
      <c r="BH8" s="10">
        <f t="shared" si="19"/>
        <v>4238</v>
      </c>
      <c r="BI8" s="10">
        <v>4238</v>
      </c>
      <c r="BJ8" s="155">
        <v>-18743</v>
      </c>
      <c r="BK8" s="10">
        <f t="shared" si="20"/>
        <v>35274</v>
      </c>
      <c r="BL8" s="155">
        <v>16531</v>
      </c>
      <c r="BM8" s="10">
        <v>404</v>
      </c>
      <c r="BN8" s="10">
        <f t="shared" si="21"/>
        <v>8077</v>
      </c>
      <c r="BO8" s="10">
        <v>8481</v>
      </c>
      <c r="BP8" s="10">
        <v>19</v>
      </c>
      <c r="BQ8" s="10">
        <f t="shared" si="22"/>
        <v>1785</v>
      </c>
      <c r="BR8" s="10">
        <v>1804</v>
      </c>
      <c r="BS8" s="10"/>
      <c r="BT8" s="10">
        <f t="shared" si="23"/>
        <v>0</v>
      </c>
      <c r="BU8" s="10">
        <v>0</v>
      </c>
      <c r="BV8" s="10">
        <v>106</v>
      </c>
      <c r="BW8" s="10">
        <f t="shared" si="24"/>
        <v>25199</v>
      </c>
      <c r="BX8" s="10">
        <v>25305</v>
      </c>
      <c r="BY8" s="10"/>
      <c r="BZ8" s="10">
        <f t="shared" si="25"/>
        <v>19645</v>
      </c>
      <c r="CA8" s="10">
        <v>19645</v>
      </c>
      <c r="CB8" s="10"/>
      <c r="CC8" s="10">
        <f t="shared" si="26"/>
        <v>2802</v>
      </c>
      <c r="CD8" s="10">
        <v>2802</v>
      </c>
      <c r="CE8" s="10">
        <v>7</v>
      </c>
      <c r="CF8" s="10">
        <f t="shared" si="27"/>
        <v>7702</v>
      </c>
      <c r="CG8" s="10">
        <v>7709</v>
      </c>
      <c r="CH8" s="10">
        <v>961</v>
      </c>
      <c r="CI8" s="10">
        <f t="shared" si="28"/>
        <v>1212</v>
      </c>
      <c r="CJ8" s="10">
        <v>2173</v>
      </c>
      <c r="CK8" s="10"/>
      <c r="CL8" s="10">
        <f t="shared" si="29"/>
        <v>47201</v>
      </c>
      <c r="CM8" s="10">
        <v>47201</v>
      </c>
      <c r="CN8" s="10"/>
      <c r="CO8" s="10">
        <f t="shared" si="30"/>
        <v>8855</v>
      </c>
      <c r="CP8" s="10">
        <v>8855</v>
      </c>
      <c r="CQ8" s="10">
        <v>8066</v>
      </c>
      <c r="CR8" s="10">
        <f t="shared" si="31"/>
        <v>188967</v>
      </c>
      <c r="CS8" s="10">
        <v>197033</v>
      </c>
      <c r="CT8" s="10"/>
      <c r="CU8" s="10">
        <f t="shared" si="32"/>
        <v>7073</v>
      </c>
      <c r="CV8" s="10">
        <v>7073</v>
      </c>
    </row>
    <row r="9" spans="1:100" x14ac:dyDescent="0.25">
      <c r="A9" s="10" t="s">
        <v>167</v>
      </c>
      <c r="B9" s="10">
        <v>1</v>
      </c>
      <c r="C9" s="10">
        <f t="shared" si="0"/>
        <v>6570</v>
      </c>
      <c r="D9" s="10">
        <v>6571</v>
      </c>
      <c r="E9" s="10"/>
      <c r="F9" s="10">
        <f t="shared" si="1"/>
        <v>0</v>
      </c>
      <c r="G9" s="10"/>
      <c r="H9" s="10"/>
      <c r="I9" s="10">
        <f t="shared" si="2"/>
        <v>1074</v>
      </c>
      <c r="J9" s="10">
        <v>1074</v>
      </c>
      <c r="K9" s="10"/>
      <c r="L9" s="10">
        <f t="shared" si="3"/>
        <v>0</v>
      </c>
      <c r="M9" s="10"/>
      <c r="N9" s="10">
        <v>1841</v>
      </c>
      <c r="O9" s="10">
        <f t="shared" si="4"/>
        <v>108781</v>
      </c>
      <c r="P9" s="10">
        <v>110622</v>
      </c>
      <c r="Q9" s="10">
        <v>0</v>
      </c>
      <c r="R9" s="10">
        <f t="shared" si="5"/>
        <v>6631</v>
      </c>
      <c r="S9" s="10">
        <v>6631</v>
      </c>
      <c r="T9" s="10">
        <v>514</v>
      </c>
      <c r="U9" s="10">
        <f t="shared" si="6"/>
        <v>4222</v>
      </c>
      <c r="V9" s="10">
        <v>4736</v>
      </c>
      <c r="W9" s="10">
        <v>4</v>
      </c>
      <c r="X9" s="10">
        <f t="shared" si="7"/>
        <v>428</v>
      </c>
      <c r="Y9" s="10">
        <v>432</v>
      </c>
      <c r="Z9" s="10">
        <v>1</v>
      </c>
      <c r="AA9" s="10">
        <f t="shared" si="8"/>
        <v>131</v>
      </c>
      <c r="AB9" s="10">
        <v>132</v>
      </c>
      <c r="AC9" s="10"/>
      <c r="AD9" s="10">
        <f t="shared" si="9"/>
        <v>0</v>
      </c>
      <c r="AE9" s="10">
        <v>0</v>
      </c>
      <c r="AF9" s="36">
        <v>6</v>
      </c>
      <c r="AG9" s="10">
        <f t="shared" si="10"/>
        <v>3029</v>
      </c>
      <c r="AH9" s="36">
        <v>3035</v>
      </c>
      <c r="AI9" s="10">
        <v>28</v>
      </c>
      <c r="AJ9" s="10">
        <f t="shared" si="11"/>
        <v>3531</v>
      </c>
      <c r="AK9" s="10">
        <v>3559</v>
      </c>
      <c r="AL9" s="10">
        <v>30</v>
      </c>
      <c r="AM9" s="10">
        <f t="shared" si="12"/>
        <v>16872</v>
      </c>
      <c r="AN9" s="10">
        <v>16902</v>
      </c>
      <c r="AO9" s="10">
        <v>1287</v>
      </c>
      <c r="AP9" s="10">
        <f t="shared" si="13"/>
        <v>26181</v>
      </c>
      <c r="AQ9" s="10">
        <v>27468</v>
      </c>
      <c r="AR9" s="10">
        <v>613</v>
      </c>
      <c r="AS9" s="10">
        <f t="shared" si="14"/>
        <v>35652</v>
      </c>
      <c r="AT9" s="36">
        <v>36265</v>
      </c>
      <c r="AU9" s="10">
        <v>3</v>
      </c>
      <c r="AV9" s="10">
        <f t="shared" si="15"/>
        <v>845</v>
      </c>
      <c r="AW9" s="10">
        <v>848</v>
      </c>
      <c r="AX9" s="10">
        <v>55</v>
      </c>
      <c r="AY9" s="10">
        <f t="shared" si="16"/>
        <v>3460</v>
      </c>
      <c r="AZ9" s="10">
        <v>3515</v>
      </c>
      <c r="BA9" s="10">
        <v>167</v>
      </c>
      <c r="BB9" s="10">
        <f t="shared" si="17"/>
        <v>2338</v>
      </c>
      <c r="BC9" s="10">
        <v>2505</v>
      </c>
      <c r="BD9" s="10"/>
      <c r="BE9" s="10">
        <f t="shared" si="18"/>
        <v>0</v>
      </c>
      <c r="BF9" s="10"/>
      <c r="BG9" s="10"/>
      <c r="BH9" s="10">
        <f t="shared" si="19"/>
        <v>0</v>
      </c>
      <c r="BI9" s="10"/>
      <c r="BJ9" s="10"/>
      <c r="BK9" s="10">
        <f t="shared" si="20"/>
        <v>0</v>
      </c>
      <c r="BL9" s="10"/>
      <c r="BM9" s="10"/>
      <c r="BN9" s="10">
        <f t="shared" si="21"/>
        <v>0</v>
      </c>
      <c r="BO9" s="10"/>
      <c r="BP9" s="10"/>
      <c r="BQ9" s="10">
        <f t="shared" si="22"/>
        <v>0</v>
      </c>
      <c r="BR9" s="10"/>
      <c r="BS9" s="10"/>
      <c r="BT9" s="10">
        <f t="shared" si="23"/>
        <v>0</v>
      </c>
      <c r="BU9" s="10">
        <v>0</v>
      </c>
      <c r="BV9" s="10">
        <v>1145</v>
      </c>
      <c r="BW9" s="10">
        <f t="shared" si="24"/>
        <v>10551</v>
      </c>
      <c r="BX9" s="10">
        <v>11696</v>
      </c>
      <c r="BY9" s="10"/>
      <c r="BZ9" s="10">
        <f t="shared" si="25"/>
        <v>0</v>
      </c>
      <c r="CA9" s="10"/>
      <c r="CB9" s="10">
        <v>186</v>
      </c>
      <c r="CC9" s="10">
        <f t="shared" si="26"/>
        <v>5785</v>
      </c>
      <c r="CD9" s="10">
        <v>5971</v>
      </c>
      <c r="CE9" s="10">
        <v>475</v>
      </c>
      <c r="CF9" s="10">
        <f t="shared" si="27"/>
        <v>12627</v>
      </c>
      <c r="CG9" s="10">
        <v>13102</v>
      </c>
      <c r="CH9" s="10">
        <v>78</v>
      </c>
      <c r="CI9" s="10">
        <f t="shared" si="28"/>
        <v>4436</v>
      </c>
      <c r="CJ9" s="10">
        <v>4514</v>
      </c>
      <c r="CK9" s="10"/>
      <c r="CL9" s="10">
        <f t="shared" si="29"/>
        <v>0</v>
      </c>
      <c r="CM9" s="10"/>
      <c r="CN9" s="10">
        <v>1285</v>
      </c>
      <c r="CO9" s="10">
        <f t="shared" si="30"/>
        <v>37073</v>
      </c>
      <c r="CP9" s="10">
        <v>38358</v>
      </c>
      <c r="CQ9" s="10">
        <v>747</v>
      </c>
      <c r="CR9" s="10">
        <f t="shared" si="31"/>
        <v>2525</v>
      </c>
      <c r="CS9" s="10">
        <v>3272</v>
      </c>
      <c r="CT9" s="10">
        <v>568</v>
      </c>
      <c r="CU9" s="10">
        <f t="shared" si="32"/>
        <v>13945</v>
      </c>
      <c r="CV9" s="10">
        <v>14513</v>
      </c>
    </row>
    <row r="10" spans="1:100" x14ac:dyDescent="0.25">
      <c r="A10" s="10" t="s">
        <v>168</v>
      </c>
      <c r="B10" s="10">
        <v>184</v>
      </c>
      <c r="C10" s="10">
        <f t="shared" si="0"/>
        <v>11819</v>
      </c>
      <c r="D10" s="10">
        <v>12003</v>
      </c>
      <c r="E10" s="10"/>
      <c r="F10" s="10">
        <f t="shared" si="1"/>
        <v>5083</v>
      </c>
      <c r="G10" s="10">
        <v>5083</v>
      </c>
      <c r="H10" s="10"/>
      <c r="I10" s="10">
        <f t="shared" si="2"/>
        <v>8784917</v>
      </c>
      <c r="J10" s="10">
        <v>8784917</v>
      </c>
      <c r="K10" s="10"/>
      <c r="L10" s="10">
        <f t="shared" si="3"/>
        <v>26509</v>
      </c>
      <c r="M10" s="10">
        <v>26509</v>
      </c>
      <c r="N10" s="10">
        <v>51652</v>
      </c>
      <c r="O10" s="10">
        <f t="shared" si="4"/>
        <v>216473</v>
      </c>
      <c r="P10" s="10">
        <v>268125</v>
      </c>
      <c r="Q10" s="10">
        <v>11241</v>
      </c>
      <c r="R10" s="10">
        <f t="shared" si="5"/>
        <v>19026</v>
      </c>
      <c r="S10" s="10">
        <v>30267</v>
      </c>
      <c r="T10" s="10">
        <v>29939</v>
      </c>
      <c r="U10" s="10">
        <f t="shared" si="6"/>
        <v>32265</v>
      </c>
      <c r="V10" s="10">
        <v>62204</v>
      </c>
      <c r="W10" s="10">
        <v>126</v>
      </c>
      <c r="X10" s="10">
        <f t="shared" si="7"/>
        <v>656</v>
      </c>
      <c r="Y10" s="10">
        <v>782</v>
      </c>
      <c r="Z10" s="10">
        <v>122</v>
      </c>
      <c r="AA10" s="10">
        <f t="shared" si="8"/>
        <v>971</v>
      </c>
      <c r="AB10" s="10">
        <v>1093</v>
      </c>
      <c r="AC10" s="10"/>
      <c r="AD10" s="10">
        <f t="shared" si="9"/>
        <v>812</v>
      </c>
      <c r="AE10" s="10">
        <v>812</v>
      </c>
      <c r="AF10" s="36">
        <v>8434</v>
      </c>
      <c r="AG10" s="10">
        <f t="shared" si="10"/>
        <v>22897</v>
      </c>
      <c r="AH10" s="36">
        <v>31331</v>
      </c>
      <c r="AI10" s="10">
        <v>2076</v>
      </c>
      <c r="AJ10" s="10">
        <f t="shared" si="11"/>
        <v>8276</v>
      </c>
      <c r="AK10" s="10">
        <v>10352</v>
      </c>
      <c r="AL10" s="10">
        <v>32351</v>
      </c>
      <c r="AM10" s="10">
        <f t="shared" si="12"/>
        <v>56550</v>
      </c>
      <c r="AN10" s="10">
        <v>88901</v>
      </c>
      <c r="AO10" s="10">
        <v>51371</v>
      </c>
      <c r="AP10" s="10">
        <f t="shared" si="13"/>
        <v>153414</v>
      </c>
      <c r="AQ10" s="10">
        <v>204785</v>
      </c>
      <c r="AR10" s="10">
        <v>35192</v>
      </c>
      <c r="AS10" s="10">
        <f t="shared" si="14"/>
        <v>52552</v>
      </c>
      <c r="AT10" s="36">
        <v>87744</v>
      </c>
      <c r="AU10" s="10">
        <v>719</v>
      </c>
      <c r="AV10" s="10">
        <f t="shared" si="15"/>
        <v>2310</v>
      </c>
      <c r="AW10" s="10">
        <v>3029</v>
      </c>
      <c r="AX10" s="10">
        <v>4997</v>
      </c>
      <c r="AY10" s="10">
        <f t="shared" si="16"/>
        <v>10911</v>
      </c>
      <c r="AZ10" s="10">
        <v>15908</v>
      </c>
      <c r="BA10" s="10">
        <v>6503</v>
      </c>
      <c r="BB10" s="10">
        <f t="shared" si="17"/>
        <v>3621</v>
      </c>
      <c r="BC10" s="10">
        <v>10124</v>
      </c>
      <c r="BD10" s="10"/>
      <c r="BE10" s="10">
        <f t="shared" si="18"/>
        <v>2328</v>
      </c>
      <c r="BF10" s="10">
        <v>2328</v>
      </c>
      <c r="BG10" s="10"/>
      <c r="BH10" s="10">
        <f t="shared" si="19"/>
        <v>1092</v>
      </c>
      <c r="BI10" s="10">
        <v>1092</v>
      </c>
      <c r="BJ10" s="155">
        <v>129804</v>
      </c>
      <c r="BK10" s="10">
        <f t="shared" si="20"/>
        <v>914509</v>
      </c>
      <c r="BL10" s="155">
        <v>1044313</v>
      </c>
      <c r="BM10" s="10">
        <v>151691</v>
      </c>
      <c r="BN10" s="10">
        <f t="shared" si="21"/>
        <v>240065</v>
      </c>
      <c r="BO10" s="10">
        <v>391756</v>
      </c>
      <c r="BP10" s="10">
        <v>92945</v>
      </c>
      <c r="BQ10" s="10">
        <f t="shared" si="22"/>
        <v>231695</v>
      </c>
      <c r="BR10" s="10">
        <v>324640</v>
      </c>
      <c r="BS10" s="10"/>
      <c r="BT10" s="10">
        <f t="shared" si="23"/>
        <v>770</v>
      </c>
      <c r="BU10" s="10">
        <v>770</v>
      </c>
      <c r="BV10" s="10">
        <v>59194</v>
      </c>
      <c r="BW10" s="10">
        <f t="shared" si="24"/>
        <v>303333</v>
      </c>
      <c r="BX10" s="10">
        <v>362527</v>
      </c>
      <c r="BY10" s="10"/>
      <c r="BZ10" s="10">
        <f t="shared" si="25"/>
        <v>8268</v>
      </c>
      <c r="CA10" s="10">
        <v>8268</v>
      </c>
      <c r="CB10" s="10">
        <v>20424</v>
      </c>
      <c r="CC10" s="10">
        <f t="shared" si="26"/>
        <v>18959</v>
      </c>
      <c r="CD10" s="10">
        <v>39383</v>
      </c>
      <c r="CE10" s="10">
        <v>7368</v>
      </c>
      <c r="CF10" s="10">
        <f t="shared" si="27"/>
        <v>20436</v>
      </c>
      <c r="CG10" s="10">
        <v>27804</v>
      </c>
      <c r="CH10" s="10">
        <v>42292</v>
      </c>
      <c r="CI10" s="10">
        <f t="shared" si="28"/>
        <v>18062</v>
      </c>
      <c r="CJ10" s="10">
        <v>60354</v>
      </c>
      <c r="CK10" s="10"/>
      <c r="CL10" s="10">
        <f t="shared" si="29"/>
        <v>64222</v>
      </c>
      <c r="CM10" s="10">
        <v>64222</v>
      </c>
      <c r="CN10" s="10">
        <v>22200</v>
      </c>
      <c r="CO10" s="10">
        <f t="shared" si="30"/>
        <v>37631</v>
      </c>
      <c r="CP10" s="10">
        <v>59831</v>
      </c>
      <c r="CQ10" s="10">
        <v>169837</v>
      </c>
      <c r="CR10" s="10">
        <f t="shared" si="31"/>
        <v>401057</v>
      </c>
      <c r="CS10" s="10">
        <v>570894</v>
      </c>
      <c r="CT10" s="10">
        <v>8039</v>
      </c>
      <c r="CU10" s="10">
        <f t="shared" si="32"/>
        <v>9347</v>
      </c>
      <c r="CV10" s="10">
        <v>17386</v>
      </c>
    </row>
    <row r="11" spans="1:100" x14ac:dyDescent="0.25">
      <c r="A11" s="10" t="s">
        <v>169</v>
      </c>
      <c r="B11" s="10">
        <v>91</v>
      </c>
      <c r="C11" s="10">
        <f t="shared" si="0"/>
        <v>4877</v>
      </c>
      <c r="D11" s="10">
        <v>4968</v>
      </c>
      <c r="E11" s="10"/>
      <c r="F11" s="10">
        <f t="shared" si="1"/>
        <v>4823</v>
      </c>
      <c r="G11" s="10">
        <v>4823</v>
      </c>
      <c r="H11" s="10"/>
      <c r="I11" s="10">
        <f t="shared" si="2"/>
        <v>5918365</v>
      </c>
      <c r="J11" s="10">
        <v>5918365</v>
      </c>
      <c r="K11" s="10"/>
      <c r="L11" s="10">
        <f t="shared" si="3"/>
        <v>24721</v>
      </c>
      <c r="M11" s="10">
        <v>24721</v>
      </c>
      <c r="N11" s="10">
        <v>4523</v>
      </c>
      <c r="O11" s="10">
        <f t="shared" si="4"/>
        <v>193015</v>
      </c>
      <c r="P11" s="10">
        <v>197538</v>
      </c>
      <c r="Q11" s="10">
        <v>1015</v>
      </c>
      <c r="R11" s="10">
        <f t="shared" si="5"/>
        <v>14317</v>
      </c>
      <c r="S11" s="10">
        <v>15332</v>
      </c>
      <c r="T11" s="10">
        <v>4101</v>
      </c>
      <c r="U11" s="10">
        <f t="shared" si="6"/>
        <v>14369</v>
      </c>
      <c r="V11" s="10">
        <v>18470</v>
      </c>
      <c r="W11" s="10">
        <v>71</v>
      </c>
      <c r="X11" s="10">
        <f t="shared" si="7"/>
        <v>585</v>
      </c>
      <c r="Y11" s="10">
        <v>656</v>
      </c>
      <c r="Z11" s="10">
        <v>44</v>
      </c>
      <c r="AA11" s="10">
        <f t="shared" si="8"/>
        <v>963</v>
      </c>
      <c r="AB11" s="10">
        <v>1007</v>
      </c>
      <c r="AC11" s="10"/>
      <c r="AD11" s="10">
        <f t="shared" si="9"/>
        <v>416</v>
      </c>
      <c r="AE11" s="10">
        <v>416</v>
      </c>
      <c r="AF11" s="36">
        <v>1012</v>
      </c>
      <c r="AG11" s="10">
        <f t="shared" si="10"/>
        <v>15385</v>
      </c>
      <c r="AH11" s="36">
        <v>16397</v>
      </c>
      <c r="AI11" s="10">
        <v>948</v>
      </c>
      <c r="AJ11" s="10">
        <f t="shared" si="11"/>
        <v>7066</v>
      </c>
      <c r="AK11" s="10">
        <v>8014</v>
      </c>
      <c r="AL11" s="10">
        <v>2798</v>
      </c>
      <c r="AM11" s="10">
        <f t="shared" si="12"/>
        <v>43873</v>
      </c>
      <c r="AN11" s="10">
        <v>46671</v>
      </c>
      <c r="AO11" s="10">
        <v>5129</v>
      </c>
      <c r="AP11" s="10">
        <f t="shared" si="13"/>
        <v>128551</v>
      </c>
      <c r="AQ11" s="10">
        <v>133680</v>
      </c>
      <c r="AR11" s="10">
        <v>155</v>
      </c>
      <c r="AS11" s="10">
        <f t="shared" si="14"/>
        <v>32505</v>
      </c>
      <c r="AT11" s="36">
        <v>32660</v>
      </c>
      <c r="AU11" s="10">
        <v>118</v>
      </c>
      <c r="AV11" s="10">
        <f t="shared" si="15"/>
        <v>2093</v>
      </c>
      <c r="AW11" s="10">
        <v>2211</v>
      </c>
      <c r="AX11" s="10">
        <v>776</v>
      </c>
      <c r="AY11" s="10">
        <f t="shared" si="16"/>
        <v>8907</v>
      </c>
      <c r="AZ11" s="10">
        <v>9683</v>
      </c>
      <c r="BA11" s="10">
        <v>1105</v>
      </c>
      <c r="BB11" s="10">
        <f t="shared" si="17"/>
        <v>2669</v>
      </c>
      <c r="BC11" s="10">
        <v>3774</v>
      </c>
      <c r="BD11" s="10"/>
      <c r="BE11" s="10">
        <f t="shared" si="18"/>
        <v>2301</v>
      </c>
      <c r="BF11" s="10">
        <v>2301</v>
      </c>
      <c r="BG11" s="10"/>
      <c r="BH11" s="10">
        <f t="shared" si="19"/>
        <v>1089</v>
      </c>
      <c r="BI11" s="10">
        <v>1089</v>
      </c>
      <c r="BJ11" s="10">
        <v>9887</v>
      </c>
      <c r="BK11" s="10">
        <f t="shared" si="20"/>
        <v>399333</v>
      </c>
      <c r="BL11" s="10">
        <v>409220</v>
      </c>
      <c r="BM11" s="10">
        <f>6092+1473</f>
        <v>7565</v>
      </c>
      <c r="BN11" s="10">
        <f t="shared" si="21"/>
        <v>129312</v>
      </c>
      <c r="BO11" s="10">
        <f>50123+86754</f>
        <v>136877</v>
      </c>
      <c r="BP11" s="10">
        <v>9190</v>
      </c>
      <c r="BQ11" s="10">
        <f t="shared" si="22"/>
        <v>196909</v>
      </c>
      <c r="BR11" s="10">
        <v>206099</v>
      </c>
      <c r="BS11" s="10">
        <v>79</v>
      </c>
      <c r="BT11" s="10">
        <f t="shared" si="23"/>
        <v>122</v>
      </c>
      <c r="BU11" s="10">
        <v>201</v>
      </c>
      <c r="BV11" s="10">
        <v>3376</v>
      </c>
      <c r="BW11" s="10">
        <f t="shared" si="24"/>
        <v>283585</v>
      </c>
      <c r="BX11" s="10">
        <v>286961</v>
      </c>
      <c r="BY11" s="10"/>
      <c r="BZ11" s="10">
        <f t="shared" si="25"/>
        <v>6680</v>
      </c>
      <c r="CA11" s="10">
        <v>6680</v>
      </c>
      <c r="CB11" s="10">
        <v>1697</v>
      </c>
      <c r="CC11" s="10">
        <f t="shared" si="26"/>
        <v>13866</v>
      </c>
      <c r="CD11" s="10">
        <v>15563</v>
      </c>
      <c r="CE11" s="10">
        <v>958</v>
      </c>
      <c r="CF11" s="10">
        <f t="shared" si="27"/>
        <v>15224</v>
      </c>
      <c r="CG11" s="10">
        <v>16182</v>
      </c>
      <c r="CH11" s="10">
        <v>2956</v>
      </c>
      <c r="CI11" s="10">
        <f t="shared" si="28"/>
        <v>12609</v>
      </c>
      <c r="CJ11" s="10">
        <v>15565</v>
      </c>
      <c r="CK11" s="10"/>
      <c r="CL11" s="10">
        <f t="shared" si="29"/>
        <v>59347</v>
      </c>
      <c r="CM11" s="10">
        <v>59347</v>
      </c>
      <c r="CN11" s="10">
        <v>4620</v>
      </c>
      <c r="CO11" s="10">
        <f t="shared" si="30"/>
        <v>28012</v>
      </c>
      <c r="CP11" s="10">
        <v>32632</v>
      </c>
      <c r="CQ11" s="10">
        <v>13335</v>
      </c>
      <c r="CR11" s="10">
        <f t="shared" si="31"/>
        <v>298003</v>
      </c>
      <c r="CS11" s="10">
        <v>311338</v>
      </c>
      <c r="CT11" s="10">
        <v>1253</v>
      </c>
      <c r="CU11" s="10">
        <f t="shared" si="32"/>
        <v>8174</v>
      </c>
      <c r="CV11" s="10">
        <v>9427</v>
      </c>
    </row>
    <row r="12" spans="1:100" x14ac:dyDescent="0.25">
      <c r="A12" s="10" t="s">
        <v>170</v>
      </c>
      <c r="B12" s="10">
        <v>61</v>
      </c>
      <c r="C12" s="10">
        <f t="shared" si="0"/>
        <v>3717</v>
      </c>
      <c r="D12" s="10">
        <v>3778</v>
      </c>
      <c r="E12" s="10"/>
      <c r="F12" s="10">
        <f t="shared" si="1"/>
        <v>110</v>
      </c>
      <c r="G12" s="10">
        <v>110</v>
      </c>
      <c r="H12" s="10"/>
      <c r="I12" s="10">
        <f t="shared" si="2"/>
        <v>1150142</v>
      </c>
      <c r="J12" s="10">
        <v>1150142</v>
      </c>
      <c r="K12" s="10"/>
      <c r="L12" s="10">
        <f t="shared" si="3"/>
        <v>275</v>
      </c>
      <c r="M12" s="10">
        <v>275</v>
      </c>
      <c r="N12" s="10">
        <v>3758</v>
      </c>
      <c r="O12" s="10">
        <f t="shared" si="4"/>
        <v>5931</v>
      </c>
      <c r="P12" s="10">
        <v>9689</v>
      </c>
      <c r="Q12" s="10">
        <v>944</v>
      </c>
      <c r="R12" s="10">
        <f t="shared" si="5"/>
        <v>2094</v>
      </c>
      <c r="S12" s="10">
        <v>3038</v>
      </c>
      <c r="T12" s="10">
        <v>3222</v>
      </c>
      <c r="U12" s="10">
        <f t="shared" si="6"/>
        <v>1618</v>
      </c>
      <c r="V12" s="10">
        <v>4840</v>
      </c>
      <c r="W12" s="10">
        <v>36</v>
      </c>
      <c r="X12" s="10">
        <f t="shared" si="7"/>
        <v>47</v>
      </c>
      <c r="Y12" s="10">
        <v>83</v>
      </c>
      <c r="Z12" s="10">
        <v>25</v>
      </c>
      <c r="AA12" s="10">
        <f t="shared" si="8"/>
        <v>7</v>
      </c>
      <c r="AB12" s="10">
        <v>32</v>
      </c>
      <c r="AC12" s="10"/>
      <c r="AD12" s="10">
        <f t="shared" si="9"/>
        <v>151</v>
      </c>
      <c r="AE12" s="10">
        <v>151</v>
      </c>
      <c r="AF12" s="36">
        <v>689</v>
      </c>
      <c r="AG12" s="10">
        <f t="shared" si="10"/>
        <v>1197</v>
      </c>
      <c r="AH12" s="36">
        <v>1886</v>
      </c>
      <c r="AI12" s="10">
        <v>473</v>
      </c>
      <c r="AJ12" s="10">
        <f t="shared" si="11"/>
        <v>813</v>
      </c>
      <c r="AK12" s="10">
        <v>1286</v>
      </c>
      <c r="AL12" s="10">
        <v>2992</v>
      </c>
      <c r="AM12" s="10">
        <f t="shared" si="12"/>
        <v>10855</v>
      </c>
      <c r="AN12" s="10">
        <v>13847</v>
      </c>
      <c r="AO12" s="10">
        <v>4243</v>
      </c>
      <c r="AP12" s="10">
        <f t="shared" si="13"/>
        <v>7493</v>
      </c>
      <c r="AQ12" s="10">
        <v>11736</v>
      </c>
      <c r="AR12" s="10">
        <v>864</v>
      </c>
      <c r="AS12" s="10">
        <f t="shared" si="14"/>
        <v>10090</v>
      </c>
      <c r="AT12" s="36">
        <v>10954</v>
      </c>
      <c r="AU12" s="10">
        <v>112</v>
      </c>
      <c r="AV12" s="10">
        <f t="shared" si="15"/>
        <v>111</v>
      </c>
      <c r="AW12" s="10">
        <v>223</v>
      </c>
      <c r="AX12" s="10">
        <v>591</v>
      </c>
      <c r="AY12" s="10">
        <f t="shared" si="16"/>
        <v>761</v>
      </c>
      <c r="AZ12" s="10">
        <v>1352</v>
      </c>
      <c r="BA12" s="10">
        <v>892</v>
      </c>
      <c r="BB12" s="10">
        <f t="shared" si="17"/>
        <v>385</v>
      </c>
      <c r="BC12" s="10">
        <v>1277</v>
      </c>
      <c r="BD12" s="10"/>
      <c r="BE12" s="10">
        <f t="shared" si="18"/>
        <v>19</v>
      </c>
      <c r="BF12" s="10">
        <v>19</v>
      </c>
      <c r="BG12" s="10"/>
      <c r="BH12" s="10">
        <f t="shared" si="19"/>
        <v>1</v>
      </c>
      <c r="BI12" s="10">
        <v>1</v>
      </c>
      <c r="BJ12" s="10">
        <v>24685</v>
      </c>
      <c r="BK12" s="10">
        <f t="shared" si="20"/>
        <v>170066</v>
      </c>
      <c r="BL12" s="10">
        <v>194751</v>
      </c>
      <c r="BM12" s="10">
        <v>10017</v>
      </c>
      <c r="BN12" s="10">
        <f t="shared" si="21"/>
        <v>79904</v>
      </c>
      <c r="BO12" s="10">
        <v>89921</v>
      </c>
      <c r="BP12" s="10">
        <v>8381</v>
      </c>
      <c r="BQ12" s="10">
        <f t="shared" si="22"/>
        <v>15403</v>
      </c>
      <c r="BR12" s="10">
        <v>23784</v>
      </c>
      <c r="BS12" s="10">
        <v>42</v>
      </c>
      <c r="BT12" s="10">
        <f t="shared" si="23"/>
        <v>52</v>
      </c>
      <c r="BU12" s="10">
        <v>94</v>
      </c>
      <c r="BV12" s="10">
        <v>3682</v>
      </c>
      <c r="BW12" s="10">
        <f t="shared" si="24"/>
        <v>3547</v>
      </c>
      <c r="BX12" s="10">
        <v>7229</v>
      </c>
      <c r="BY12" s="10"/>
      <c r="BZ12" s="10">
        <f t="shared" si="25"/>
        <v>744</v>
      </c>
      <c r="CA12" s="10">
        <v>744</v>
      </c>
      <c r="CB12" s="10">
        <v>1584</v>
      </c>
      <c r="CC12" s="10">
        <f t="shared" si="26"/>
        <v>1618</v>
      </c>
      <c r="CD12" s="10">
        <v>3202</v>
      </c>
      <c r="CE12" s="10">
        <v>690</v>
      </c>
      <c r="CF12" s="10">
        <f t="shared" si="27"/>
        <v>1270</v>
      </c>
      <c r="CG12" s="10">
        <v>1960</v>
      </c>
      <c r="CH12" s="10">
        <v>2911</v>
      </c>
      <c r="CI12" s="10">
        <f t="shared" si="28"/>
        <v>1863</v>
      </c>
      <c r="CJ12" s="10">
        <v>4774</v>
      </c>
      <c r="CK12" s="10"/>
      <c r="CL12" s="10">
        <f t="shared" si="29"/>
        <v>2336</v>
      </c>
      <c r="CM12" s="10">
        <v>2336</v>
      </c>
      <c r="CN12" s="10">
        <v>2762</v>
      </c>
      <c r="CO12" s="10">
        <f t="shared" si="30"/>
        <v>3760</v>
      </c>
      <c r="CP12" s="10">
        <v>6522</v>
      </c>
      <c r="CQ12" s="10">
        <v>12745</v>
      </c>
      <c r="CR12" s="10">
        <f t="shared" si="31"/>
        <v>28665</v>
      </c>
      <c r="CS12" s="10">
        <v>41410</v>
      </c>
      <c r="CT12" s="10">
        <v>606</v>
      </c>
      <c r="CU12" s="10">
        <f t="shared" si="32"/>
        <v>633</v>
      </c>
      <c r="CV12" s="10">
        <v>1239</v>
      </c>
    </row>
    <row r="13" spans="1:100" x14ac:dyDescent="0.25">
      <c r="A13" s="10" t="s">
        <v>171</v>
      </c>
      <c r="B13" s="10">
        <v>30</v>
      </c>
      <c r="C13" s="10">
        <f t="shared" si="0"/>
        <v>3108</v>
      </c>
      <c r="D13" s="10">
        <v>3138</v>
      </c>
      <c r="E13" s="10"/>
      <c r="F13" s="10">
        <f t="shared" si="1"/>
        <v>150</v>
      </c>
      <c r="G13" s="10">
        <v>150</v>
      </c>
      <c r="H13" s="10"/>
      <c r="I13" s="10">
        <f t="shared" si="2"/>
        <v>108898</v>
      </c>
      <c r="J13" s="10">
        <v>108898</v>
      </c>
      <c r="K13" s="10"/>
      <c r="L13" s="10">
        <f t="shared" si="3"/>
        <v>253</v>
      </c>
      <c r="M13" s="10">
        <v>253</v>
      </c>
      <c r="N13" s="10">
        <v>6174</v>
      </c>
      <c r="O13" s="10">
        <f t="shared" si="4"/>
        <v>6350</v>
      </c>
      <c r="P13" s="10">
        <v>12524</v>
      </c>
      <c r="Q13" s="10">
        <v>1721</v>
      </c>
      <c r="R13" s="10">
        <f t="shared" si="5"/>
        <v>911</v>
      </c>
      <c r="S13" s="10">
        <v>2632</v>
      </c>
      <c r="T13" s="10">
        <v>4850</v>
      </c>
      <c r="U13" s="10">
        <f t="shared" si="6"/>
        <v>949</v>
      </c>
      <c r="V13" s="10">
        <v>5799</v>
      </c>
      <c r="W13" s="10">
        <v>18</v>
      </c>
      <c r="X13" s="10">
        <f t="shared" si="7"/>
        <v>22</v>
      </c>
      <c r="Y13" s="10">
        <v>40</v>
      </c>
      <c r="Z13" s="10">
        <v>50</v>
      </c>
      <c r="AA13" s="10">
        <f t="shared" si="8"/>
        <v>1</v>
      </c>
      <c r="AB13" s="10">
        <v>51</v>
      </c>
      <c r="AC13" s="10"/>
      <c r="AD13" s="10">
        <f t="shared" si="9"/>
        <v>114</v>
      </c>
      <c r="AE13" s="10">
        <v>114</v>
      </c>
      <c r="AF13" s="36">
        <v>1073</v>
      </c>
      <c r="AG13" s="10">
        <f t="shared" si="10"/>
        <v>979</v>
      </c>
      <c r="AH13" s="36">
        <v>2052</v>
      </c>
      <c r="AI13" s="10">
        <v>456</v>
      </c>
      <c r="AJ13" s="10">
        <f t="shared" si="11"/>
        <v>367</v>
      </c>
      <c r="AK13" s="10">
        <v>823</v>
      </c>
      <c r="AL13" s="10">
        <v>4743</v>
      </c>
      <c r="AM13" s="10">
        <f t="shared" si="12"/>
        <v>1038</v>
      </c>
      <c r="AN13" s="10">
        <v>5781</v>
      </c>
      <c r="AO13" s="10">
        <v>5755</v>
      </c>
      <c r="AP13" s="10">
        <f t="shared" si="13"/>
        <v>4410</v>
      </c>
      <c r="AQ13" s="10">
        <v>10165</v>
      </c>
      <c r="AR13" s="10">
        <v>3675</v>
      </c>
      <c r="AS13" s="10">
        <f t="shared" si="14"/>
        <v>6013</v>
      </c>
      <c r="AT13" s="36">
        <v>9688</v>
      </c>
      <c r="AU13" s="10">
        <v>203</v>
      </c>
      <c r="AV13" s="10">
        <f t="shared" si="15"/>
        <v>72</v>
      </c>
      <c r="AW13" s="10">
        <v>275</v>
      </c>
      <c r="AX13" s="10">
        <v>959</v>
      </c>
      <c r="AY13" s="10">
        <f t="shared" si="16"/>
        <v>607</v>
      </c>
      <c r="AZ13" s="10">
        <v>1566</v>
      </c>
      <c r="BA13" s="10">
        <v>1168</v>
      </c>
      <c r="BB13" s="10">
        <f t="shared" si="17"/>
        <v>117</v>
      </c>
      <c r="BC13" s="10">
        <v>1285</v>
      </c>
      <c r="BD13" s="10"/>
      <c r="BE13" s="10">
        <f t="shared" si="18"/>
        <v>7</v>
      </c>
      <c r="BF13" s="10">
        <v>7</v>
      </c>
      <c r="BG13" s="10"/>
      <c r="BH13" s="10">
        <f t="shared" si="19"/>
        <v>2</v>
      </c>
      <c r="BI13" s="10">
        <v>2</v>
      </c>
      <c r="BJ13" s="10">
        <v>21512</v>
      </c>
      <c r="BK13" s="10">
        <f t="shared" si="20"/>
        <v>110956</v>
      </c>
      <c r="BL13" s="10">
        <v>132468</v>
      </c>
      <c r="BM13" s="10">
        <v>19174</v>
      </c>
      <c r="BN13" s="10">
        <f t="shared" si="21"/>
        <v>14171</v>
      </c>
      <c r="BO13" s="10">
        <v>33345</v>
      </c>
      <c r="BP13" s="10">
        <v>19515</v>
      </c>
      <c r="BQ13" s="10">
        <f t="shared" si="22"/>
        <v>11789</v>
      </c>
      <c r="BR13" s="10">
        <v>31304</v>
      </c>
      <c r="BS13" s="10">
        <v>140</v>
      </c>
      <c r="BT13" s="10">
        <f t="shared" si="23"/>
        <v>80</v>
      </c>
      <c r="BU13" s="10">
        <v>220</v>
      </c>
      <c r="BV13" s="10">
        <v>5873</v>
      </c>
      <c r="BW13" s="10">
        <f t="shared" si="24"/>
        <v>2914</v>
      </c>
      <c r="BX13" s="10">
        <v>8787</v>
      </c>
      <c r="BY13" s="10"/>
      <c r="BZ13" s="10">
        <f t="shared" si="25"/>
        <v>844</v>
      </c>
      <c r="CA13" s="10">
        <v>844</v>
      </c>
      <c r="CB13" s="10">
        <v>3089</v>
      </c>
      <c r="CC13" s="10">
        <f t="shared" si="26"/>
        <v>1416</v>
      </c>
      <c r="CD13" s="10">
        <v>4505</v>
      </c>
      <c r="CE13" s="10">
        <v>934</v>
      </c>
      <c r="CF13" s="10">
        <f t="shared" si="27"/>
        <v>1468</v>
      </c>
      <c r="CG13" s="10">
        <v>2402</v>
      </c>
      <c r="CH13" s="10">
        <v>5373</v>
      </c>
      <c r="CI13" s="10">
        <f t="shared" si="28"/>
        <v>933</v>
      </c>
      <c r="CJ13" s="10">
        <v>6306</v>
      </c>
      <c r="CK13" s="10"/>
      <c r="CL13" s="10">
        <f t="shared" si="29"/>
        <v>2096</v>
      </c>
      <c r="CM13" s="10">
        <v>2096</v>
      </c>
      <c r="CN13" s="10">
        <v>3498</v>
      </c>
      <c r="CO13" s="10">
        <f t="shared" si="30"/>
        <v>2914</v>
      </c>
      <c r="CP13" s="10">
        <v>6412</v>
      </c>
      <c r="CQ13" s="10">
        <v>20975</v>
      </c>
      <c r="CR13" s="10">
        <f t="shared" si="31"/>
        <v>30081</v>
      </c>
      <c r="CS13" s="10">
        <v>51056</v>
      </c>
      <c r="CT13" s="10">
        <v>925</v>
      </c>
      <c r="CU13" s="10">
        <f t="shared" si="32"/>
        <v>255</v>
      </c>
      <c r="CV13" s="10">
        <v>1180</v>
      </c>
    </row>
    <row r="14" spans="1:100" x14ac:dyDescent="0.25">
      <c r="A14" s="10" t="s">
        <v>172</v>
      </c>
      <c r="B14" s="10">
        <v>2</v>
      </c>
      <c r="C14" s="10">
        <f t="shared" si="0"/>
        <v>117</v>
      </c>
      <c r="D14" s="10">
        <v>119</v>
      </c>
      <c r="E14" s="10"/>
      <c r="F14" s="10">
        <f t="shared" si="1"/>
        <v>0</v>
      </c>
      <c r="G14" s="10"/>
      <c r="H14" s="10"/>
      <c r="I14" s="10">
        <f t="shared" si="2"/>
        <v>1607512</v>
      </c>
      <c r="J14" s="10">
        <v>1607512</v>
      </c>
      <c r="K14" s="10"/>
      <c r="L14" s="10">
        <f t="shared" si="3"/>
        <v>1260</v>
      </c>
      <c r="M14" s="10">
        <v>1260</v>
      </c>
      <c r="N14" s="10">
        <v>37197</v>
      </c>
      <c r="O14" s="10">
        <f t="shared" si="4"/>
        <v>11177</v>
      </c>
      <c r="P14" s="10">
        <v>48374</v>
      </c>
      <c r="Q14" s="10">
        <v>7561</v>
      </c>
      <c r="R14" s="10">
        <f t="shared" si="5"/>
        <v>1704</v>
      </c>
      <c r="S14" s="10">
        <v>9265</v>
      </c>
      <c r="T14" s="10">
        <v>17766</v>
      </c>
      <c r="U14" s="10">
        <f t="shared" si="6"/>
        <v>15329</v>
      </c>
      <c r="V14" s="10">
        <v>33095</v>
      </c>
      <c r="W14" s="10">
        <v>1</v>
      </c>
      <c r="X14" s="10">
        <f t="shared" si="7"/>
        <v>2</v>
      </c>
      <c r="Y14" s="10">
        <v>3</v>
      </c>
      <c r="Z14" s="10">
        <v>3</v>
      </c>
      <c r="AA14" s="10">
        <f t="shared" si="8"/>
        <v>0</v>
      </c>
      <c r="AB14" s="10">
        <v>3</v>
      </c>
      <c r="AC14" s="10"/>
      <c r="AD14" s="10">
        <f t="shared" si="9"/>
        <v>131</v>
      </c>
      <c r="AE14" s="10">
        <v>131</v>
      </c>
      <c r="AF14" s="36">
        <v>5660</v>
      </c>
      <c r="AG14" s="10">
        <f t="shared" si="10"/>
        <v>5336</v>
      </c>
      <c r="AH14" s="36">
        <v>10996</v>
      </c>
      <c r="AI14" s="10">
        <v>199</v>
      </c>
      <c r="AJ14" s="10">
        <f t="shared" si="11"/>
        <v>30</v>
      </c>
      <c r="AK14" s="10">
        <v>229</v>
      </c>
      <c r="AL14" s="10">
        <v>21818</v>
      </c>
      <c r="AM14" s="10">
        <f t="shared" si="12"/>
        <v>784</v>
      </c>
      <c r="AN14" s="10">
        <v>22602</v>
      </c>
      <c r="AO14" s="10">
        <v>36244</v>
      </c>
      <c r="AP14" s="10">
        <f t="shared" si="13"/>
        <v>12960</v>
      </c>
      <c r="AQ14" s="10">
        <v>49204</v>
      </c>
      <c r="AR14" s="10">
        <v>30498</v>
      </c>
      <c r="AS14" s="10">
        <f t="shared" si="14"/>
        <v>3944</v>
      </c>
      <c r="AT14" s="36">
        <v>34442</v>
      </c>
      <c r="AU14" s="10">
        <v>286</v>
      </c>
      <c r="AV14" s="10">
        <f t="shared" si="15"/>
        <v>34</v>
      </c>
      <c r="AW14" s="10">
        <v>320</v>
      </c>
      <c r="AX14" s="10">
        <v>2671</v>
      </c>
      <c r="AY14" s="10">
        <f t="shared" si="16"/>
        <v>636</v>
      </c>
      <c r="AZ14" s="10">
        <v>3307</v>
      </c>
      <c r="BA14" s="10">
        <v>3338</v>
      </c>
      <c r="BB14" s="10">
        <f t="shared" si="17"/>
        <v>450</v>
      </c>
      <c r="BC14" s="10">
        <v>3788</v>
      </c>
      <c r="BD14" s="10"/>
      <c r="BE14" s="10">
        <f t="shared" si="18"/>
        <v>1</v>
      </c>
      <c r="BF14" s="10">
        <v>1</v>
      </c>
      <c r="BG14" s="10"/>
      <c r="BH14" s="10">
        <f t="shared" si="19"/>
        <v>0</v>
      </c>
      <c r="BI14" s="10"/>
      <c r="BJ14" s="10">
        <v>73720</v>
      </c>
      <c r="BK14" s="10">
        <f t="shared" si="20"/>
        <v>234154</v>
      </c>
      <c r="BL14" s="10">
        <v>307874</v>
      </c>
      <c r="BM14" s="10">
        <v>114935</v>
      </c>
      <c r="BN14" s="10">
        <f t="shared" si="21"/>
        <v>16678</v>
      </c>
      <c r="BO14" s="10">
        <v>131613</v>
      </c>
      <c r="BP14" s="10">
        <v>55859</v>
      </c>
      <c r="BQ14" s="10">
        <f t="shared" si="22"/>
        <v>7594</v>
      </c>
      <c r="BR14" s="10">
        <v>63453</v>
      </c>
      <c r="BS14" s="10">
        <v>175</v>
      </c>
      <c r="BT14" s="10">
        <f t="shared" si="23"/>
        <v>82</v>
      </c>
      <c r="BU14" s="10">
        <v>257</v>
      </c>
      <c r="BV14" s="10">
        <v>46263</v>
      </c>
      <c r="BW14" s="10">
        <f t="shared" si="24"/>
        <v>13287</v>
      </c>
      <c r="BX14" s="10">
        <v>59550</v>
      </c>
      <c r="BY14" s="10"/>
      <c r="BZ14" s="10">
        <f t="shared" si="25"/>
        <v>0</v>
      </c>
      <c r="CA14" s="10"/>
      <c r="CB14" s="10">
        <v>14054</v>
      </c>
      <c r="CC14" s="10">
        <f t="shared" si="26"/>
        <v>2059</v>
      </c>
      <c r="CD14" s="10">
        <v>16113</v>
      </c>
      <c r="CE14" s="10">
        <f>2253+2533</f>
        <v>4786</v>
      </c>
      <c r="CF14" s="10">
        <f t="shared" si="27"/>
        <v>2474</v>
      </c>
      <c r="CG14" s="10">
        <f>3608+3652</f>
        <v>7260</v>
      </c>
      <c r="CH14" s="10">
        <v>31052</v>
      </c>
      <c r="CI14" s="10">
        <f t="shared" si="28"/>
        <v>2657</v>
      </c>
      <c r="CJ14" s="10">
        <v>33709</v>
      </c>
      <c r="CK14" s="10"/>
      <c r="CL14" s="10">
        <f t="shared" si="29"/>
        <v>443</v>
      </c>
      <c r="CM14" s="10">
        <v>443</v>
      </c>
      <c r="CN14" s="10">
        <v>11320</v>
      </c>
      <c r="CO14" s="10">
        <f t="shared" si="30"/>
        <v>2945</v>
      </c>
      <c r="CP14" s="10">
        <v>14265</v>
      </c>
      <c r="CQ14" s="10">
        <v>122782</v>
      </c>
      <c r="CR14" s="10">
        <f t="shared" si="31"/>
        <v>44308</v>
      </c>
      <c r="CS14" s="10">
        <v>167090</v>
      </c>
      <c r="CT14" s="10">
        <v>5255</v>
      </c>
      <c r="CU14" s="10">
        <f t="shared" si="32"/>
        <v>285</v>
      </c>
      <c r="CV14" s="10">
        <v>5540</v>
      </c>
    </row>
  </sheetData>
  <mergeCells count="33">
    <mergeCell ref="CN3:CP3"/>
    <mergeCell ref="CQ3:CS3"/>
    <mergeCell ref="CT3:CV3"/>
    <mergeCell ref="BV3:BX3"/>
    <mergeCell ref="BY3:CA3"/>
    <mergeCell ref="CB3:CD3"/>
    <mergeCell ref="CE3:CG3"/>
    <mergeCell ref="CH3:CJ3"/>
    <mergeCell ref="CK3:CM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7" width="16" customWidth="1"/>
  </cols>
  <sheetData>
    <row r="1" spans="1:67" ht="18.75" x14ac:dyDescent="0.3">
      <c r="A1" s="21" t="s">
        <v>138</v>
      </c>
    </row>
    <row r="2" spans="1:67" x14ac:dyDescent="0.25">
      <c r="A2" s="1" t="s">
        <v>0</v>
      </c>
      <c r="B2" s="111" t="s">
        <v>1</v>
      </c>
      <c r="C2" s="112"/>
      <c r="D2" s="111" t="s">
        <v>2</v>
      </c>
      <c r="E2" s="112"/>
      <c r="F2" s="111" t="s">
        <v>3</v>
      </c>
      <c r="G2" s="112"/>
      <c r="H2" s="111" t="s">
        <v>295</v>
      </c>
      <c r="I2" s="112"/>
      <c r="J2" s="111" t="s">
        <v>5</v>
      </c>
      <c r="K2" s="112"/>
      <c r="L2" s="111" t="s">
        <v>6</v>
      </c>
      <c r="M2" s="112"/>
      <c r="N2" s="111" t="s">
        <v>7</v>
      </c>
      <c r="O2" s="112"/>
      <c r="P2" s="111" t="s">
        <v>309</v>
      </c>
      <c r="Q2" s="112"/>
      <c r="R2" s="111" t="s">
        <v>9</v>
      </c>
      <c r="S2" s="112"/>
      <c r="T2" s="111" t="s">
        <v>10</v>
      </c>
      <c r="U2" s="112"/>
      <c r="V2" s="111" t="s">
        <v>11</v>
      </c>
      <c r="W2" s="112"/>
      <c r="X2" s="111" t="s">
        <v>12</v>
      </c>
      <c r="Y2" s="112"/>
      <c r="Z2" s="111" t="s">
        <v>13</v>
      </c>
      <c r="AA2" s="112"/>
      <c r="AB2" s="111" t="s">
        <v>14</v>
      </c>
      <c r="AC2" s="112"/>
      <c r="AD2" s="111" t="s">
        <v>15</v>
      </c>
      <c r="AE2" s="112"/>
      <c r="AF2" s="111" t="s">
        <v>16</v>
      </c>
      <c r="AG2" s="112"/>
      <c r="AH2" s="111" t="s">
        <v>17</v>
      </c>
      <c r="AI2" s="112"/>
      <c r="AJ2" s="111" t="s">
        <v>18</v>
      </c>
      <c r="AK2" s="112"/>
      <c r="AL2" s="111" t="s">
        <v>293</v>
      </c>
      <c r="AM2" s="112"/>
      <c r="AN2" s="111" t="s">
        <v>19</v>
      </c>
      <c r="AO2" s="112"/>
      <c r="AP2" s="111" t="s">
        <v>20</v>
      </c>
      <c r="AQ2" s="112"/>
      <c r="AR2" s="111" t="s">
        <v>21</v>
      </c>
      <c r="AS2" s="112"/>
      <c r="AT2" s="111" t="s">
        <v>22</v>
      </c>
      <c r="AU2" s="112"/>
      <c r="AV2" s="111" t="s">
        <v>23</v>
      </c>
      <c r="AW2" s="112"/>
      <c r="AX2" s="111" t="s">
        <v>24</v>
      </c>
      <c r="AY2" s="112"/>
      <c r="AZ2" s="111" t="s">
        <v>25</v>
      </c>
      <c r="BA2" s="112"/>
      <c r="BB2" s="111" t="s">
        <v>26</v>
      </c>
      <c r="BC2" s="112"/>
      <c r="BD2" s="111" t="s">
        <v>27</v>
      </c>
      <c r="BE2" s="112"/>
      <c r="BF2" s="111" t="s">
        <v>28</v>
      </c>
      <c r="BG2" s="112"/>
      <c r="BH2" s="111" t="s">
        <v>29</v>
      </c>
      <c r="BI2" s="112"/>
      <c r="BJ2" s="111" t="s">
        <v>30</v>
      </c>
      <c r="BK2" s="112"/>
      <c r="BL2" s="115" t="s">
        <v>31</v>
      </c>
      <c r="BM2" s="116"/>
      <c r="BN2" s="111" t="s">
        <v>32</v>
      </c>
      <c r="BO2" s="112"/>
    </row>
    <row r="3" spans="1:67" ht="30" x14ac:dyDescent="0.25">
      <c r="A3" s="1"/>
      <c r="B3" s="66" t="s">
        <v>298</v>
      </c>
      <c r="C3" s="67" t="s">
        <v>299</v>
      </c>
      <c r="D3" s="66" t="s">
        <v>298</v>
      </c>
      <c r="E3" s="67" t="s">
        <v>299</v>
      </c>
      <c r="F3" s="66" t="s">
        <v>298</v>
      </c>
      <c r="G3" s="67" t="s">
        <v>299</v>
      </c>
      <c r="H3" s="66" t="s">
        <v>298</v>
      </c>
      <c r="I3" s="67" t="s">
        <v>299</v>
      </c>
      <c r="J3" s="66" t="s">
        <v>298</v>
      </c>
      <c r="K3" s="67" t="s">
        <v>299</v>
      </c>
      <c r="L3" s="66" t="s">
        <v>298</v>
      </c>
      <c r="M3" s="67" t="s">
        <v>299</v>
      </c>
      <c r="N3" s="66" t="s">
        <v>298</v>
      </c>
      <c r="O3" s="67" t="s">
        <v>299</v>
      </c>
      <c r="P3" s="66" t="s">
        <v>298</v>
      </c>
      <c r="Q3" s="67" t="s">
        <v>299</v>
      </c>
      <c r="R3" s="66" t="s">
        <v>298</v>
      </c>
      <c r="S3" s="67" t="s">
        <v>299</v>
      </c>
      <c r="T3" s="66" t="s">
        <v>298</v>
      </c>
      <c r="U3" s="67" t="s">
        <v>299</v>
      </c>
      <c r="V3" s="66" t="s">
        <v>298</v>
      </c>
      <c r="W3" s="67" t="s">
        <v>299</v>
      </c>
      <c r="X3" s="66" t="s">
        <v>298</v>
      </c>
      <c r="Y3" s="67" t="s">
        <v>299</v>
      </c>
      <c r="Z3" s="66" t="s">
        <v>298</v>
      </c>
      <c r="AA3" s="67" t="s">
        <v>299</v>
      </c>
      <c r="AB3" s="66" t="s">
        <v>298</v>
      </c>
      <c r="AC3" s="67" t="s">
        <v>299</v>
      </c>
      <c r="AD3" s="66" t="s">
        <v>298</v>
      </c>
      <c r="AE3" s="67" t="s">
        <v>299</v>
      </c>
      <c r="AF3" s="66" t="s">
        <v>298</v>
      </c>
      <c r="AG3" s="67" t="s">
        <v>299</v>
      </c>
      <c r="AH3" s="66" t="s">
        <v>298</v>
      </c>
      <c r="AI3" s="67" t="s">
        <v>299</v>
      </c>
      <c r="AJ3" s="66" t="s">
        <v>298</v>
      </c>
      <c r="AK3" s="67" t="s">
        <v>299</v>
      </c>
      <c r="AL3" s="66" t="s">
        <v>298</v>
      </c>
      <c r="AM3" s="67" t="s">
        <v>299</v>
      </c>
      <c r="AN3" s="66" t="s">
        <v>298</v>
      </c>
      <c r="AO3" s="67" t="s">
        <v>299</v>
      </c>
      <c r="AP3" s="66" t="s">
        <v>298</v>
      </c>
      <c r="AQ3" s="67" t="s">
        <v>299</v>
      </c>
      <c r="AR3" s="66" t="s">
        <v>298</v>
      </c>
      <c r="AS3" s="67" t="s">
        <v>299</v>
      </c>
      <c r="AT3" s="66" t="s">
        <v>298</v>
      </c>
      <c r="AU3" s="67" t="s">
        <v>299</v>
      </c>
      <c r="AV3" s="66" t="s">
        <v>298</v>
      </c>
      <c r="AW3" s="67" t="s">
        <v>299</v>
      </c>
      <c r="AX3" s="66" t="s">
        <v>298</v>
      </c>
      <c r="AY3" s="67" t="s">
        <v>299</v>
      </c>
      <c r="AZ3" s="66" t="s">
        <v>298</v>
      </c>
      <c r="BA3" s="67" t="s">
        <v>299</v>
      </c>
      <c r="BB3" s="66" t="s">
        <v>298</v>
      </c>
      <c r="BC3" s="67" t="s">
        <v>299</v>
      </c>
      <c r="BD3" s="66" t="s">
        <v>298</v>
      </c>
      <c r="BE3" s="67" t="s">
        <v>299</v>
      </c>
      <c r="BF3" s="66" t="s">
        <v>298</v>
      </c>
      <c r="BG3" s="67" t="s">
        <v>299</v>
      </c>
      <c r="BH3" s="66" t="s">
        <v>298</v>
      </c>
      <c r="BI3" s="67" t="s">
        <v>299</v>
      </c>
      <c r="BJ3" s="66" t="s">
        <v>298</v>
      </c>
      <c r="BK3" s="67" t="s">
        <v>299</v>
      </c>
      <c r="BL3" s="66" t="s">
        <v>298</v>
      </c>
      <c r="BM3" s="67" t="s">
        <v>299</v>
      </c>
      <c r="BN3" s="66" t="s">
        <v>298</v>
      </c>
      <c r="BO3" s="67" t="s">
        <v>299</v>
      </c>
    </row>
    <row r="4" spans="1:67" x14ac:dyDescent="0.25">
      <c r="A4" s="15" t="s">
        <v>139</v>
      </c>
      <c r="B4" s="47">
        <v>0.7732</v>
      </c>
      <c r="C4" s="47">
        <v>1.6293</v>
      </c>
      <c r="D4" s="73">
        <v>0.8</v>
      </c>
      <c r="E4" s="73">
        <v>0.76</v>
      </c>
      <c r="F4" s="47">
        <v>0.68400000000000005</v>
      </c>
      <c r="G4" s="47">
        <v>0.35649999999999998</v>
      </c>
      <c r="H4" s="46">
        <v>-0.01</v>
      </c>
      <c r="I4" s="92">
        <v>0.15</v>
      </c>
      <c r="J4" s="105">
        <v>-0.22</v>
      </c>
      <c r="K4" s="98">
        <v>0.156</v>
      </c>
      <c r="L4" s="47">
        <v>0.18290000000000001</v>
      </c>
      <c r="M4" s="47">
        <v>0.38800000000000001</v>
      </c>
      <c r="N4" s="47">
        <v>-0.1061</v>
      </c>
      <c r="O4" s="47">
        <v>-6.7000000000000002E-3</v>
      </c>
      <c r="P4" s="46">
        <v>-0.26</v>
      </c>
      <c r="Q4" s="47">
        <v>-0.35</v>
      </c>
      <c r="R4" s="46">
        <v>0.53</v>
      </c>
      <c r="S4" s="46">
        <v>0.57999999999999996</v>
      </c>
      <c r="T4" s="47">
        <v>-0.26590000000000003</v>
      </c>
      <c r="U4" s="47">
        <v>-0.13789999999999999</v>
      </c>
      <c r="V4" s="46">
        <v>0.25</v>
      </c>
      <c r="W4" s="46">
        <v>0.34</v>
      </c>
      <c r="X4" s="49">
        <v>-0.1691</v>
      </c>
      <c r="Y4" s="49">
        <v>0.97570000000000001</v>
      </c>
      <c r="Z4" s="47">
        <v>0.14030000000000001</v>
      </c>
      <c r="AA4" s="49">
        <v>8.0799999999999997E-2</v>
      </c>
      <c r="AB4" s="46">
        <v>-0.09</v>
      </c>
      <c r="AC4" s="46">
        <v>-0.08</v>
      </c>
      <c r="AD4" s="47">
        <v>-4.5900000000000003E-2</v>
      </c>
      <c r="AE4" s="108">
        <v>0.13700000000000001</v>
      </c>
      <c r="AF4" s="73">
        <v>0.35</v>
      </c>
      <c r="AG4" s="73">
        <v>0.44</v>
      </c>
      <c r="AH4" s="46">
        <v>0.28000000000000003</v>
      </c>
      <c r="AI4" s="73">
        <v>0.36</v>
      </c>
      <c r="AJ4" s="98">
        <v>-1.9E-2</v>
      </c>
      <c r="AK4" s="98">
        <v>0.26300000000000001</v>
      </c>
      <c r="AL4" s="46">
        <v>0.25</v>
      </c>
      <c r="AM4" s="46">
        <v>0.19</v>
      </c>
      <c r="AN4" s="46">
        <v>0.28000000000000003</v>
      </c>
      <c r="AO4" s="73">
        <v>0.31</v>
      </c>
      <c r="AP4" s="159">
        <v>-7.9000000000000001E-2</v>
      </c>
      <c r="AQ4" s="159">
        <v>8.8000000000000005E-3</v>
      </c>
      <c r="AR4" s="36">
        <v>5.28</v>
      </c>
      <c r="AS4" s="36">
        <v>11.68</v>
      </c>
      <c r="AT4" s="36">
        <v>-0.6</v>
      </c>
      <c r="AU4" s="36">
        <v>3.79</v>
      </c>
      <c r="AV4" s="47">
        <v>0.51370000000000005</v>
      </c>
      <c r="AW4" s="47">
        <v>0.36349999999999999</v>
      </c>
      <c r="AX4" s="73">
        <v>0.1</v>
      </c>
      <c r="AY4" s="73">
        <v>0.21</v>
      </c>
      <c r="AZ4" s="36">
        <v>0.28000000000000003</v>
      </c>
      <c r="BA4" s="36">
        <v>0.31</v>
      </c>
      <c r="BB4" s="47">
        <v>0.21099999999999999</v>
      </c>
      <c r="BC4" s="47">
        <v>0.156</v>
      </c>
      <c r="BD4" s="47">
        <v>0.41470000000000001</v>
      </c>
      <c r="BE4" s="47">
        <v>0.44419999999999998</v>
      </c>
      <c r="BF4" s="47">
        <v>-3.3300000000000003E-2</v>
      </c>
      <c r="BG4" s="47">
        <v>4.6600000000000003E-2</v>
      </c>
      <c r="BH4" s="46">
        <v>0.17</v>
      </c>
      <c r="BI4" s="46">
        <v>0.27</v>
      </c>
      <c r="BJ4" s="46">
        <v>-0.18</v>
      </c>
      <c r="BK4" s="46">
        <v>-0.05</v>
      </c>
      <c r="BL4" s="47">
        <v>-1.1599999999999999E-2</v>
      </c>
      <c r="BM4" s="47">
        <v>6.6699999999999995E-2</v>
      </c>
      <c r="BN4" s="47">
        <v>-0.32679999999999998</v>
      </c>
      <c r="BO4" s="47">
        <v>0.01</v>
      </c>
    </row>
    <row r="5" spans="1:67" ht="15" customHeight="1" x14ac:dyDescent="0.25">
      <c r="A5" s="15" t="s">
        <v>140</v>
      </c>
      <c r="B5" s="36"/>
      <c r="C5" s="46"/>
      <c r="D5" s="73">
        <v>1.19</v>
      </c>
      <c r="E5" s="73">
        <v>3.18</v>
      </c>
      <c r="F5" s="46"/>
      <c r="G5" s="36"/>
      <c r="H5" s="23"/>
      <c r="I5" s="23"/>
      <c r="J5" s="98">
        <v>0.46899999999999997</v>
      </c>
      <c r="K5" s="98">
        <v>2.1469999999999998</v>
      </c>
      <c r="L5" s="36">
        <v>1.1000000000000001</v>
      </c>
      <c r="M5" s="36">
        <v>4.74</v>
      </c>
      <c r="N5" s="36">
        <v>0.73</v>
      </c>
      <c r="O5" s="36">
        <v>2.79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23">
        <v>3.82</v>
      </c>
      <c r="AA5" s="23">
        <v>3.82</v>
      </c>
      <c r="AB5" s="36">
        <v>0.52</v>
      </c>
      <c r="AC5" s="36">
        <v>2.17</v>
      </c>
      <c r="AD5" s="47"/>
      <c r="AE5" s="47"/>
      <c r="AF5" s="46"/>
      <c r="AG5" s="36"/>
      <c r="AH5" s="36">
        <v>0.6</v>
      </c>
      <c r="AI5" s="36">
        <v>2.2799999999999998</v>
      </c>
      <c r="AJ5" s="36">
        <v>0.96</v>
      </c>
      <c r="AK5" s="36">
        <v>3.48</v>
      </c>
      <c r="AL5" s="46"/>
      <c r="AM5" s="46"/>
      <c r="AN5" s="36"/>
      <c r="AO5" s="36"/>
      <c r="AP5" s="36"/>
      <c r="AQ5" s="36"/>
      <c r="AR5" s="36"/>
      <c r="AS5" s="36"/>
      <c r="AT5" s="36"/>
      <c r="AU5" s="36"/>
      <c r="AV5" s="36">
        <v>0.42</v>
      </c>
      <c r="AW5" s="36">
        <v>1.06</v>
      </c>
      <c r="AX5" s="36"/>
      <c r="AY5" s="36"/>
      <c r="AZ5" s="36"/>
      <c r="BA5" s="36"/>
      <c r="BB5" s="36">
        <v>0.78</v>
      </c>
      <c r="BC5" s="36">
        <v>3.19</v>
      </c>
      <c r="BD5" s="36"/>
      <c r="BE5" s="36"/>
      <c r="BF5" s="36"/>
      <c r="BG5" s="36"/>
      <c r="BH5" s="23">
        <v>1.32</v>
      </c>
      <c r="BI5" s="23">
        <v>3.63</v>
      </c>
      <c r="BJ5" s="36"/>
      <c r="BK5" s="36"/>
      <c r="BL5" s="47">
        <v>-65.450900000000004</v>
      </c>
      <c r="BM5" s="47">
        <v>11.5954</v>
      </c>
      <c r="BN5" s="36"/>
      <c r="BO5" s="36"/>
    </row>
    <row r="6" spans="1:67" ht="15" customHeight="1" x14ac:dyDescent="0.25">
      <c r="A6" s="15" t="s">
        <v>141</v>
      </c>
      <c r="B6" s="36">
        <v>0.44</v>
      </c>
      <c r="C6" s="36">
        <v>1.76</v>
      </c>
      <c r="D6" s="73"/>
      <c r="E6" s="73"/>
      <c r="F6" s="36">
        <v>0.41</v>
      </c>
      <c r="G6" s="36">
        <v>2.37</v>
      </c>
      <c r="H6" s="23">
        <v>1.49</v>
      </c>
      <c r="I6" s="23">
        <v>4.18</v>
      </c>
      <c r="J6" s="36"/>
      <c r="K6" s="36"/>
      <c r="L6" s="47"/>
      <c r="M6" s="36"/>
      <c r="N6" s="36"/>
      <c r="O6" s="36"/>
      <c r="P6" s="36">
        <v>0.13</v>
      </c>
      <c r="Q6" s="36">
        <v>0.84</v>
      </c>
      <c r="R6" s="36">
        <v>0.44</v>
      </c>
      <c r="S6" s="36">
        <v>1.18</v>
      </c>
      <c r="T6" s="23">
        <v>0.21</v>
      </c>
      <c r="U6" s="23">
        <v>0.21</v>
      </c>
      <c r="V6" s="36">
        <v>1.05</v>
      </c>
      <c r="W6" s="36">
        <v>3.56</v>
      </c>
      <c r="X6" s="36">
        <v>0.27</v>
      </c>
      <c r="Y6" s="36">
        <v>1.58</v>
      </c>
      <c r="Z6" s="47"/>
      <c r="AA6" s="47"/>
      <c r="AB6" s="36"/>
      <c r="AC6" s="36"/>
      <c r="AD6" s="47"/>
      <c r="AE6" s="23">
        <v>3.24</v>
      </c>
      <c r="AF6" s="36">
        <v>0.77</v>
      </c>
      <c r="AG6" s="36">
        <v>2.63</v>
      </c>
      <c r="AH6" s="36"/>
      <c r="AI6" s="36"/>
      <c r="AJ6" s="36"/>
      <c r="AK6" s="36"/>
      <c r="AL6" s="46">
        <v>0.94</v>
      </c>
      <c r="AM6" s="46">
        <v>3.37</v>
      </c>
      <c r="AN6" s="36">
        <v>1.18</v>
      </c>
      <c r="AO6" s="36">
        <v>3.59</v>
      </c>
      <c r="AP6" s="168">
        <v>2.2200000000000002</v>
      </c>
      <c r="AQ6" s="168">
        <v>-6.99</v>
      </c>
      <c r="AR6" s="36">
        <v>0.49</v>
      </c>
      <c r="AS6" s="36">
        <v>1.89</v>
      </c>
      <c r="AT6" s="36">
        <v>18.38</v>
      </c>
      <c r="AU6" s="36">
        <v>69.849999999999994</v>
      </c>
      <c r="AV6" s="36"/>
      <c r="AW6" s="36"/>
      <c r="AX6" s="36">
        <v>0.78</v>
      </c>
      <c r="AY6" s="36">
        <v>4.04</v>
      </c>
      <c r="AZ6" s="36">
        <v>1.0900000000000001</v>
      </c>
      <c r="BA6" s="36">
        <v>4.08</v>
      </c>
      <c r="BB6" s="36"/>
      <c r="BC6" s="36"/>
      <c r="BD6" s="36">
        <v>0.88</v>
      </c>
      <c r="BE6" s="36">
        <v>3.07</v>
      </c>
      <c r="BF6" s="47">
        <v>0.33560000000000001</v>
      </c>
      <c r="BG6" s="47">
        <v>1.2356</v>
      </c>
      <c r="BH6" s="36"/>
      <c r="BI6" s="36"/>
      <c r="BJ6" s="36">
        <v>0.67</v>
      </c>
      <c r="BK6" s="36">
        <v>2.91</v>
      </c>
      <c r="BL6" s="36"/>
      <c r="BM6" s="36"/>
      <c r="BN6" s="36">
        <v>0.55000000000000004</v>
      </c>
      <c r="BO6" s="36">
        <v>2.84</v>
      </c>
    </row>
    <row r="7" spans="1:67" x14ac:dyDescent="0.25">
      <c r="A7" s="15" t="s">
        <v>142</v>
      </c>
      <c r="B7" s="46">
        <v>1.36</v>
      </c>
      <c r="C7" s="46">
        <v>1.36</v>
      </c>
      <c r="D7" s="73"/>
      <c r="E7" s="73"/>
      <c r="F7" s="47">
        <v>4.6899999999999997E-2</v>
      </c>
      <c r="G7" s="47">
        <v>4.6899999999999997E-2</v>
      </c>
      <c r="H7" s="46">
        <v>0.4</v>
      </c>
      <c r="I7" s="46">
        <v>0.4</v>
      </c>
      <c r="J7" s="46"/>
      <c r="K7" s="36"/>
      <c r="L7" s="36"/>
      <c r="M7" s="46"/>
      <c r="N7" s="36"/>
      <c r="O7" s="36"/>
      <c r="P7" s="46">
        <v>0.35</v>
      </c>
      <c r="Q7" s="46">
        <v>0.35</v>
      </c>
      <c r="R7" s="46">
        <v>0.03</v>
      </c>
      <c r="S7" s="46">
        <v>0.03</v>
      </c>
      <c r="T7" s="47">
        <v>0.16839999999999999</v>
      </c>
      <c r="U7" s="47">
        <v>0.16839999999999999</v>
      </c>
      <c r="V7" s="46">
        <v>0.23</v>
      </c>
      <c r="W7" s="46">
        <v>0.23</v>
      </c>
      <c r="X7" s="47">
        <v>1.3480000000000001</v>
      </c>
      <c r="Y7" s="47">
        <v>1.3480000000000001</v>
      </c>
      <c r="Z7" s="47"/>
      <c r="AA7" s="47"/>
      <c r="AB7" s="36"/>
      <c r="AC7" s="36"/>
      <c r="AD7" s="47"/>
      <c r="AE7" s="108">
        <v>9.0800000000000006E-2</v>
      </c>
      <c r="AF7" s="46">
        <v>0.53</v>
      </c>
      <c r="AG7" s="46">
        <v>0.53</v>
      </c>
      <c r="AH7" s="23">
        <v>0.39</v>
      </c>
      <c r="AI7" s="23">
        <v>0.39</v>
      </c>
      <c r="AJ7" s="36"/>
      <c r="AK7" s="36"/>
      <c r="AL7" s="46"/>
      <c r="AM7" s="46"/>
      <c r="AN7" s="73">
        <v>0.32</v>
      </c>
      <c r="AO7" s="73">
        <v>0.32</v>
      </c>
      <c r="AP7" s="168"/>
      <c r="AQ7" s="159">
        <v>-14.99</v>
      </c>
      <c r="AR7" s="36"/>
      <c r="AS7" s="36"/>
      <c r="AT7" s="36">
        <v>-93</v>
      </c>
      <c r="AU7" s="36">
        <v>-93</v>
      </c>
      <c r="AV7" s="36"/>
      <c r="AW7" s="36"/>
      <c r="AX7" s="73">
        <v>0.15</v>
      </c>
      <c r="AY7" s="73">
        <v>0.15</v>
      </c>
      <c r="AZ7" s="36">
        <v>0.33</v>
      </c>
      <c r="BA7" s="36">
        <v>0.33</v>
      </c>
      <c r="BB7" s="36"/>
      <c r="BC7" s="36"/>
      <c r="BD7" s="47">
        <v>0.21390000000000001</v>
      </c>
      <c r="BE7" s="47">
        <v>0.21390000000000001</v>
      </c>
      <c r="BF7" s="47">
        <v>2.7400000000000001E-2</v>
      </c>
      <c r="BG7" s="47">
        <v>2.7400000000000001E-2</v>
      </c>
      <c r="BH7" s="36"/>
      <c r="BI7" s="36"/>
      <c r="BJ7" s="46">
        <v>0.02</v>
      </c>
      <c r="BK7" s="46">
        <v>0.27</v>
      </c>
      <c r="BL7" s="36"/>
      <c r="BM7" s="36"/>
      <c r="BN7" s="47">
        <v>0.13539999999999999</v>
      </c>
      <c r="BO7" s="47">
        <v>0.13539999999999999</v>
      </c>
    </row>
    <row r="8" spans="1:67" x14ac:dyDescent="0.25">
      <c r="A8" s="15" t="s">
        <v>143</v>
      </c>
      <c r="B8" s="36"/>
      <c r="C8" s="46"/>
      <c r="D8" s="73">
        <v>0.72</v>
      </c>
      <c r="E8" s="73">
        <v>0.72</v>
      </c>
      <c r="F8" s="46"/>
      <c r="G8" s="46"/>
      <c r="H8" s="47"/>
      <c r="I8" s="47"/>
      <c r="J8" s="98">
        <v>9.2999999999999999E-2</v>
      </c>
      <c r="K8" s="98">
        <v>0.17</v>
      </c>
      <c r="L8" s="47">
        <v>0.27060000000000001</v>
      </c>
      <c r="M8" s="47">
        <v>0.27060000000000001</v>
      </c>
      <c r="N8" s="47">
        <v>2.12E-2</v>
      </c>
      <c r="O8" s="47">
        <v>8.3000000000000004E-2</v>
      </c>
      <c r="P8" s="36"/>
      <c r="Q8" s="36"/>
      <c r="R8" s="36"/>
      <c r="S8" s="36"/>
      <c r="T8" s="46"/>
      <c r="U8" s="73"/>
      <c r="V8" s="36"/>
      <c r="W8" s="36"/>
      <c r="X8" s="47"/>
      <c r="Y8" s="47"/>
      <c r="Z8" s="47">
        <v>0.22789999999999999</v>
      </c>
      <c r="AA8" s="47">
        <v>0.22789999999999999</v>
      </c>
      <c r="AB8" s="46">
        <v>0.15</v>
      </c>
      <c r="AC8" s="46">
        <v>0.15</v>
      </c>
      <c r="AD8" s="47"/>
      <c r="AE8" s="47"/>
      <c r="AF8" s="46"/>
      <c r="AG8" s="36"/>
      <c r="AH8" s="36"/>
      <c r="AI8" s="36"/>
      <c r="AJ8" s="98">
        <v>0.24099999999999999</v>
      </c>
      <c r="AK8" s="98">
        <v>0.24099999999999999</v>
      </c>
      <c r="AL8" s="46">
        <v>0.04</v>
      </c>
      <c r="AM8" s="46">
        <v>0.04</v>
      </c>
      <c r="AN8" s="36"/>
      <c r="AO8" s="36"/>
      <c r="AP8" s="36"/>
      <c r="AQ8" s="36"/>
      <c r="AR8" s="36">
        <v>-0.23</v>
      </c>
      <c r="AS8" s="36">
        <v>-0.23</v>
      </c>
      <c r="AT8" s="36"/>
      <c r="AU8" s="36"/>
      <c r="AV8" s="47">
        <v>-0.29449999999999998</v>
      </c>
      <c r="AW8" s="47">
        <v>-0.29449999999999998</v>
      </c>
      <c r="AX8" s="36"/>
      <c r="AY8" s="36"/>
      <c r="AZ8" s="36"/>
      <c r="BA8" s="36"/>
      <c r="BB8" s="46">
        <v>5.0000000000000001E-3</v>
      </c>
      <c r="BC8" s="46">
        <v>5.0000000000000001E-3</v>
      </c>
      <c r="BD8" s="36"/>
      <c r="BE8" s="36"/>
      <c r="BF8" s="36"/>
      <c r="BG8" s="36"/>
      <c r="BH8" s="46">
        <v>0.28000000000000003</v>
      </c>
      <c r="BI8" s="46">
        <v>0.28000000000000003</v>
      </c>
      <c r="BJ8" s="36"/>
      <c r="BK8" s="36"/>
      <c r="BL8" s="47">
        <v>-1.3964000000000001</v>
      </c>
      <c r="BM8" s="47">
        <v>-0.4869</v>
      </c>
      <c r="BN8" s="36"/>
      <c r="BO8" s="36"/>
    </row>
    <row r="9" spans="1:67" x14ac:dyDescent="0.25">
      <c r="A9" s="15" t="s">
        <v>144</v>
      </c>
      <c r="B9" s="46">
        <v>0.55900000000000005</v>
      </c>
      <c r="C9" s="46">
        <v>0.50819999999999999</v>
      </c>
      <c r="D9" s="73">
        <v>0.8</v>
      </c>
      <c r="E9" s="73">
        <v>0.8</v>
      </c>
      <c r="F9" s="46">
        <v>0.22500000000000001</v>
      </c>
      <c r="G9" s="46">
        <v>0.22439999999999999</v>
      </c>
      <c r="H9" s="46">
        <v>0.79</v>
      </c>
      <c r="I9" s="46">
        <v>0.77</v>
      </c>
      <c r="J9" s="98">
        <v>0.7</v>
      </c>
      <c r="K9" s="98">
        <v>0.625</v>
      </c>
      <c r="L9" s="47">
        <v>0.6573</v>
      </c>
      <c r="M9" s="47">
        <v>0.63470000000000004</v>
      </c>
      <c r="N9" s="47">
        <v>0.76880000000000004</v>
      </c>
      <c r="O9" s="47">
        <v>0.77310000000000001</v>
      </c>
      <c r="P9" s="46">
        <v>0.64</v>
      </c>
      <c r="Q9" s="46">
        <v>0.73</v>
      </c>
      <c r="R9" s="46">
        <v>0.84</v>
      </c>
      <c r="S9" s="46">
        <v>0.83</v>
      </c>
      <c r="T9" s="47">
        <v>0.77549999999999997</v>
      </c>
      <c r="U9" s="47">
        <v>0.73670000000000002</v>
      </c>
      <c r="V9" s="46">
        <v>0.63</v>
      </c>
      <c r="W9" s="92">
        <v>0.62</v>
      </c>
      <c r="X9" s="47">
        <v>0.72619999999999996</v>
      </c>
      <c r="Y9" s="47">
        <v>0.69289999999999996</v>
      </c>
      <c r="Z9" s="47">
        <v>0.50749999999999995</v>
      </c>
      <c r="AA9" s="47">
        <v>0.49049999999999999</v>
      </c>
      <c r="AB9" s="46">
        <v>0.75</v>
      </c>
      <c r="AC9" s="46">
        <v>0.71</v>
      </c>
      <c r="AD9" s="47">
        <v>0.66349999999999998</v>
      </c>
      <c r="AE9" s="47">
        <v>0.58750000000000002</v>
      </c>
      <c r="AF9" s="46">
        <v>0.86</v>
      </c>
      <c r="AG9" s="46">
        <v>0.86</v>
      </c>
      <c r="AH9" s="46">
        <v>0.86</v>
      </c>
      <c r="AI9" s="46">
        <v>0.86</v>
      </c>
      <c r="AJ9" s="46">
        <v>0.57999999999999996</v>
      </c>
      <c r="AK9" s="98">
        <v>0.61099999999999999</v>
      </c>
      <c r="AL9" s="46">
        <v>0.95</v>
      </c>
      <c r="AM9" s="46">
        <v>0.95</v>
      </c>
      <c r="AN9" s="73">
        <v>0.77</v>
      </c>
      <c r="AO9" s="73">
        <v>0.77</v>
      </c>
      <c r="AP9" s="159">
        <v>0.59409999999999996</v>
      </c>
      <c r="AQ9" s="159">
        <v>0.60680000000000001</v>
      </c>
      <c r="AR9" s="36">
        <v>77.22</v>
      </c>
      <c r="AS9" s="36">
        <v>78.37</v>
      </c>
      <c r="AT9" s="36">
        <v>82.62</v>
      </c>
      <c r="AU9" s="36">
        <v>76.75</v>
      </c>
      <c r="AV9" s="47">
        <v>0.86890000000000001</v>
      </c>
      <c r="AW9" s="47">
        <v>0.79590000000000005</v>
      </c>
      <c r="AX9" s="73">
        <v>0.53</v>
      </c>
      <c r="AY9" s="73">
        <v>0.52</v>
      </c>
      <c r="AZ9" s="36">
        <v>0.75</v>
      </c>
      <c r="BA9" s="36">
        <v>0.67</v>
      </c>
      <c r="BB9" s="47">
        <v>0.68200000000000005</v>
      </c>
      <c r="BC9" s="47">
        <v>0.63400000000000001</v>
      </c>
      <c r="BD9" s="47">
        <v>0.51470000000000005</v>
      </c>
      <c r="BE9" s="47">
        <v>0.52159999999999995</v>
      </c>
      <c r="BF9" s="47">
        <v>0.93400000000000005</v>
      </c>
      <c r="BG9" s="47">
        <v>0.93269999999999997</v>
      </c>
      <c r="BH9" s="46">
        <v>0.76</v>
      </c>
      <c r="BI9" s="46">
        <v>0.76</v>
      </c>
      <c r="BJ9" s="46">
        <v>0.7</v>
      </c>
      <c r="BK9" s="46">
        <v>0.63</v>
      </c>
      <c r="BL9" s="47">
        <v>0.77600000000000002</v>
      </c>
      <c r="BM9" s="47">
        <v>0.77339999999999998</v>
      </c>
      <c r="BN9" s="47">
        <v>0.74039999999999995</v>
      </c>
      <c r="BO9" s="47">
        <v>0.51319999999999999</v>
      </c>
    </row>
    <row r="10" spans="1:67" x14ac:dyDescent="0.25">
      <c r="A10" s="15" t="s">
        <v>145</v>
      </c>
      <c r="B10" s="46">
        <v>-0.1462</v>
      </c>
      <c r="C10" s="46">
        <v>-6.8699999999999997E-2</v>
      </c>
      <c r="D10" s="73">
        <v>7.0000000000000007E-2</v>
      </c>
      <c r="E10" s="73">
        <v>7.0000000000000007E-2</v>
      </c>
      <c r="F10" s="46">
        <v>-0.1137</v>
      </c>
      <c r="G10" s="46">
        <v>-0.12659999999999999</v>
      </c>
      <c r="H10" s="46">
        <v>0.09</v>
      </c>
      <c r="I10" s="46">
        <v>7.0000000000000007E-2</v>
      </c>
      <c r="J10" s="98">
        <v>2.5000000000000001E-2</v>
      </c>
      <c r="K10" s="98">
        <v>1.0999999999999999E-2</v>
      </c>
      <c r="L10" s="47">
        <v>5.8400000000000001E-2</v>
      </c>
      <c r="M10" s="47">
        <v>5.3900000000000003E-2</v>
      </c>
      <c r="N10" s="47">
        <v>-4.1700000000000001E-2</v>
      </c>
      <c r="O10" s="47">
        <v>1.52E-2</v>
      </c>
      <c r="P10" s="46">
        <v>-0.11</v>
      </c>
      <c r="Q10" s="46">
        <v>-0.03</v>
      </c>
      <c r="R10" s="46">
        <v>7.0000000000000007E-2</v>
      </c>
      <c r="S10" s="46">
        <v>0.04</v>
      </c>
      <c r="T10" s="47">
        <v>-4.87E-2</v>
      </c>
      <c r="U10" s="47">
        <v>-4.6899999999999997E-2</v>
      </c>
      <c r="V10" s="46">
        <v>0.04</v>
      </c>
      <c r="W10" s="92">
        <v>0.04</v>
      </c>
      <c r="X10" s="49">
        <v>3.8699999999999998E-2</v>
      </c>
      <c r="Y10" s="49">
        <v>-1.2500000000000001E-2</v>
      </c>
      <c r="Z10" s="47">
        <v>-5.4699999999999999E-2</v>
      </c>
      <c r="AA10" s="47">
        <v>-5.04E-2</v>
      </c>
      <c r="AB10" s="46">
        <v>7.0000000000000007E-2</v>
      </c>
      <c r="AC10" s="46">
        <v>0.04</v>
      </c>
      <c r="AD10" s="47">
        <v>2.9600000000000001E-2</v>
      </c>
      <c r="AE10" s="47">
        <v>3.49E-2</v>
      </c>
      <c r="AF10" s="46">
        <v>7.0000000000000007E-2</v>
      </c>
      <c r="AG10" s="46">
        <v>7.0000000000000007E-2</v>
      </c>
      <c r="AH10" s="46">
        <v>0.1</v>
      </c>
      <c r="AI10" s="46">
        <v>0.11</v>
      </c>
      <c r="AJ10" s="46">
        <v>-0.06</v>
      </c>
      <c r="AK10" s="46">
        <v>-0.08</v>
      </c>
      <c r="AL10" s="46">
        <v>0.12</v>
      </c>
      <c r="AM10" s="46">
        <v>0.12</v>
      </c>
      <c r="AN10" s="73">
        <v>0.1</v>
      </c>
      <c r="AO10" s="92">
        <v>0.04</v>
      </c>
      <c r="AP10" s="159">
        <v>0.11360000000000001</v>
      </c>
      <c r="AQ10" s="159">
        <v>8.5099999999999995E-2</v>
      </c>
      <c r="AR10" s="36">
        <v>10.06</v>
      </c>
      <c r="AS10" s="36">
        <v>9.3699999999999992</v>
      </c>
      <c r="AT10" s="36">
        <v>8.49</v>
      </c>
      <c r="AU10" s="36">
        <v>7.44</v>
      </c>
      <c r="AV10" s="47">
        <v>6.1899999999999997E-2</v>
      </c>
      <c r="AW10" s="47">
        <v>7.7299999999999994E-2</v>
      </c>
      <c r="AX10" s="73">
        <v>-0.08</v>
      </c>
      <c r="AY10" s="73">
        <v>-0.06</v>
      </c>
      <c r="AZ10" s="36"/>
      <c r="BA10" s="36">
        <v>-0.01</v>
      </c>
      <c r="BB10" s="47">
        <v>8.5000000000000006E-2</v>
      </c>
      <c r="BC10" s="47">
        <v>6.4000000000000001E-2</v>
      </c>
      <c r="BD10" s="47">
        <v>-4.2500000000000003E-2</v>
      </c>
      <c r="BE10" s="47">
        <v>-3.0300000000000001E-2</v>
      </c>
      <c r="BF10" s="47">
        <v>5.04E-2</v>
      </c>
      <c r="BG10" s="47">
        <v>5.3600000000000002E-2</v>
      </c>
      <c r="BH10" s="46">
        <v>0.01</v>
      </c>
      <c r="BI10" s="46">
        <v>0.06</v>
      </c>
      <c r="BJ10" s="46">
        <v>0.02</v>
      </c>
      <c r="BK10" s="46">
        <v>-0.01</v>
      </c>
      <c r="BL10" s="47">
        <v>7.5899999999999995E-2</v>
      </c>
      <c r="BM10" s="47">
        <v>5.57E-2</v>
      </c>
      <c r="BN10" s="47">
        <v>3.2399999999999998E-2</v>
      </c>
      <c r="BO10" s="47">
        <v>3.4299999999999997E-2</v>
      </c>
    </row>
    <row r="11" spans="1:67" ht="30" x14ac:dyDescent="0.25">
      <c r="A11" s="15" t="s">
        <v>146</v>
      </c>
      <c r="B11" s="46">
        <v>0.76070000000000004</v>
      </c>
      <c r="C11" s="46">
        <v>0.81110000000000004</v>
      </c>
      <c r="D11" s="73">
        <v>0.72</v>
      </c>
      <c r="E11" s="73">
        <v>0.73</v>
      </c>
      <c r="F11" s="46">
        <v>5.8700000000000002E-2</v>
      </c>
      <c r="G11" s="46">
        <v>3.3799999999999997E-2</v>
      </c>
      <c r="H11" s="46">
        <v>0.3</v>
      </c>
      <c r="I11" s="46">
        <v>0.37</v>
      </c>
      <c r="J11" s="98">
        <v>0.27900000000000003</v>
      </c>
      <c r="K11" s="98">
        <v>0.246</v>
      </c>
      <c r="L11" s="47">
        <v>0.33950000000000002</v>
      </c>
      <c r="M11" s="47">
        <v>0.31</v>
      </c>
      <c r="N11" s="47">
        <v>0.2858</v>
      </c>
      <c r="O11" s="47">
        <v>0.31419999999999998</v>
      </c>
      <c r="P11" s="46">
        <v>1.21</v>
      </c>
      <c r="Q11" s="46">
        <v>0.82</v>
      </c>
      <c r="R11" s="46">
        <v>0.6</v>
      </c>
      <c r="S11" s="46">
        <v>0.68</v>
      </c>
      <c r="T11" s="47">
        <v>0.1411</v>
      </c>
      <c r="U11" s="47">
        <v>0.2722</v>
      </c>
      <c r="V11" s="92">
        <v>0.28999999999999998</v>
      </c>
      <c r="W11" s="92">
        <v>0.3</v>
      </c>
      <c r="X11" s="47">
        <v>0.57140000000000002</v>
      </c>
      <c r="Y11" s="47">
        <v>0.42159999999999997</v>
      </c>
      <c r="Z11" s="47">
        <v>0.22720000000000001</v>
      </c>
      <c r="AA11" s="47">
        <v>0.22720000000000001</v>
      </c>
      <c r="AB11" s="46">
        <v>0.28000000000000003</v>
      </c>
      <c r="AC11" s="46">
        <v>0.27</v>
      </c>
      <c r="AD11" s="47">
        <v>0.19850000000000001</v>
      </c>
      <c r="AE11" s="47">
        <v>0.16109999999999999</v>
      </c>
      <c r="AF11" s="46">
        <v>0.41</v>
      </c>
      <c r="AG11" s="46">
        <v>0.41</v>
      </c>
      <c r="AH11" s="46">
        <v>0.37</v>
      </c>
      <c r="AI11" s="46">
        <v>0.41</v>
      </c>
      <c r="AJ11" s="98">
        <v>0.318</v>
      </c>
      <c r="AK11" s="98">
        <v>0.34399999999999997</v>
      </c>
      <c r="AL11" s="46">
        <v>0.59</v>
      </c>
      <c r="AM11" s="46">
        <v>0.62</v>
      </c>
      <c r="AN11" s="46">
        <v>0.45</v>
      </c>
      <c r="AO11" s="46">
        <v>0.46</v>
      </c>
      <c r="AP11" s="159">
        <v>0.51100000000000001</v>
      </c>
      <c r="AQ11" s="159">
        <v>0.35289999999999999</v>
      </c>
      <c r="AR11" s="36">
        <v>22</v>
      </c>
      <c r="AS11" s="36">
        <v>21.35</v>
      </c>
      <c r="AT11" s="36">
        <v>47.89</v>
      </c>
      <c r="AU11" s="36">
        <v>31.44</v>
      </c>
      <c r="AV11" s="47">
        <v>0.61780000000000002</v>
      </c>
      <c r="AW11" s="47">
        <v>0.66359999999999997</v>
      </c>
      <c r="AX11" s="73">
        <v>0.22</v>
      </c>
      <c r="AY11" s="73">
        <v>0.22</v>
      </c>
      <c r="AZ11" s="36">
        <v>0.44</v>
      </c>
      <c r="BA11" s="36">
        <v>0.38</v>
      </c>
      <c r="BB11" s="47">
        <v>0.23400000000000001</v>
      </c>
      <c r="BC11" s="47">
        <v>0.21199999999999999</v>
      </c>
      <c r="BD11" s="47">
        <v>0.22559999999999999</v>
      </c>
      <c r="BE11" s="47">
        <v>0.20530000000000001</v>
      </c>
      <c r="BF11" s="47">
        <v>0.26860000000000001</v>
      </c>
      <c r="BG11" s="47">
        <v>0.24779999999999999</v>
      </c>
      <c r="BH11" s="46">
        <v>0.28000000000000003</v>
      </c>
      <c r="BI11" s="46">
        <v>0.28999999999999998</v>
      </c>
      <c r="BJ11" s="46">
        <v>0.26</v>
      </c>
      <c r="BK11" s="46">
        <v>0.3</v>
      </c>
      <c r="BL11" s="47">
        <v>0.2893</v>
      </c>
      <c r="BM11" s="47">
        <v>0.2525</v>
      </c>
      <c r="BN11" s="47">
        <v>0.25259999999999999</v>
      </c>
      <c r="BO11" s="47">
        <v>0.1464</v>
      </c>
    </row>
    <row r="12" spans="1:67" ht="30" x14ac:dyDescent="0.25">
      <c r="A12" s="15" t="s">
        <v>147</v>
      </c>
      <c r="B12" s="46">
        <v>1.361</v>
      </c>
      <c r="C12" s="46">
        <v>1.5960000000000001</v>
      </c>
      <c r="D12" s="36"/>
      <c r="E12" s="36"/>
      <c r="F12" s="46">
        <v>0.26100000000000001</v>
      </c>
      <c r="G12" s="46">
        <v>0.15049999999999999</v>
      </c>
      <c r="H12" s="46">
        <v>0.38</v>
      </c>
      <c r="I12" s="46">
        <v>0.48</v>
      </c>
      <c r="J12" s="98">
        <v>0.39600000000000002</v>
      </c>
      <c r="K12" s="98">
        <v>0.39300000000000002</v>
      </c>
      <c r="L12" s="47">
        <v>0.51449999999999996</v>
      </c>
      <c r="M12" s="47">
        <v>0.4849</v>
      </c>
      <c r="N12" s="47"/>
      <c r="O12" s="47"/>
      <c r="P12" s="46">
        <v>1.88</v>
      </c>
      <c r="Q12" s="46">
        <v>1.1200000000000001</v>
      </c>
      <c r="R12" s="46">
        <v>0.67</v>
      </c>
      <c r="S12" s="46">
        <v>0.75</v>
      </c>
      <c r="T12" s="47">
        <v>0.18190000000000001</v>
      </c>
      <c r="U12" s="47">
        <v>0.3695</v>
      </c>
      <c r="V12" s="92">
        <v>0.45</v>
      </c>
      <c r="W12" s="92">
        <v>0.48</v>
      </c>
      <c r="X12" s="47">
        <v>0.39169999999999999</v>
      </c>
      <c r="Y12" s="47">
        <v>0.47760000000000002</v>
      </c>
      <c r="Z12" s="47">
        <v>0.4425</v>
      </c>
      <c r="AA12" s="47">
        <v>0.45669999999999999</v>
      </c>
      <c r="AB12" s="46">
        <v>0.37</v>
      </c>
      <c r="AC12" s="46">
        <v>0.37</v>
      </c>
      <c r="AD12" s="47">
        <v>0.2979</v>
      </c>
      <c r="AE12" s="47">
        <v>0.27039999999999997</v>
      </c>
      <c r="AF12" s="46">
        <v>0.47</v>
      </c>
      <c r="AG12" s="46">
        <v>0.47</v>
      </c>
      <c r="AH12" s="46">
        <v>0.42</v>
      </c>
      <c r="AI12" s="46">
        <v>0.47</v>
      </c>
      <c r="AJ12" s="98">
        <v>0.53900000000000003</v>
      </c>
      <c r="AK12" s="98">
        <v>0.53400000000000003</v>
      </c>
      <c r="AL12" s="47"/>
      <c r="AM12" s="46"/>
      <c r="AN12" s="46">
        <v>0.59</v>
      </c>
      <c r="AO12" s="46">
        <v>0.6</v>
      </c>
      <c r="AP12" s="159">
        <v>0.84570000000000001</v>
      </c>
      <c r="AQ12" s="159">
        <v>0.57179999999999997</v>
      </c>
      <c r="AR12" s="36">
        <v>26.84</v>
      </c>
      <c r="AS12" s="36">
        <v>25.91</v>
      </c>
      <c r="AT12" s="36">
        <v>57.08</v>
      </c>
      <c r="AU12" s="36">
        <v>40.04</v>
      </c>
      <c r="AV12" s="36"/>
      <c r="AW12" s="36"/>
      <c r="AX12" s="73">
        <v>0.42</v>
      </c>
      <c r="AY12" s="73">
        <v>0.42</v>
      </c>
      <c r="AZ12" s="36">
        <v>0.57999999999999996</v>
      </c>
      <c r="BA12" s="36">
        <v>0.56000000000000005</v>
      </c>
      <c r="BB12" s="46">
        <v>0.34100000000000003</v>
      </c>
      <c r="BC12" s="47">
        <v>0.33</v>
      </c>
      <c r="BD12" s="47">
        <v>0.438</v>
      </c>
      <c r="BE12" s="47">
        <v>0.39119999999999999</v>
      </c>
      <c r="BF12" s="47">
        <v>0.28720000000000001</v>
      </c>
      <c r="BG12" s="47">
        <v>0.2651</v>
      </c>
      <c r="BH12" s="46">
        <v>0.37</v>
      </c>
      <c r="BI12" s="46">
        <v>0.28000000000000003</v>
      </c>
      <c r="BJ12" s="46">
        <v>0.36</v>
      </c>
      <c r="BK12" s="46">
        <v>0.47</v>
      </c>
      <c r="BL12" s="36"/>
      <c r="BM12" s="47"/>
      <c r="BN12" s="47">
        <v>0.34089999999999998</v>
      </c>
      <c r="BO12" s="47">
        <v>0.2848</v>
      </c>
    </row>
    <row r="13" spans="1:67" ht="15" customHeight="1" x14ac:dyDescent="0.25">
      <c r="A13" s="15" t="s">
        <v>148</v>
      </c>
      <c r="B13" s="46">
        <v>0.44529999999999997</v>
      </c>
      <c r="C13" s="46">
        <v>0.60329999999999995</v>
      </c>
      <c r="D13" s="36"/>
      <c r="E13" s="36"/>
      <c r="F13" s="46">
        <v>1.0701000000000001</v>
      </c>
      <c r="G13" s="46">
        <v>1.1541999999999999</v>
      </c>
      <c r="H13" s="46">
        <v>0.52</v>
      </c>
      <c r="I13" s="46">
        <v>0.74</v>
      </c>
      <c r="J13" s="98">
        <v>0.621</v>
      </c>
      <c r="K13" s="98">
        <v>0.70699999999999996</v>
      </c>
      <c r="L13" s="47">
        <v>0.75539999999999996</v>
      </c>
      <c r="M13" s="47">
        <v>0.7833</v>
      </c>
      <c r="N13" s="47"/>
      <c r="O13" s="47"/>
      <c r="P13" s="46">
        <v>1.07</v>
      </c>
      <c r="Q13" s="46">
        <v>0.6</v>
      </c>
      <c r="R13" s="46">
        <v>1.28</v>
      </c>
      <c r="S13" s="46">
        <v>1.1100000000000001</v>
      </c>
      <c r="T13" s="47">
        <v>2.1625999999999999</v>
      </c>
      <c r="U13" s="47">
        <v>1.1534</v>
      </c>
      <c r="V13" s="92">
        <v>0.63</v>
      </c>
      <c r="W13" s="92">
        <v>0.6</v>
      </c>
      <c r="X13" s="47">
        <v>0.75649999999999995</v>
      </c>
      <c r="Y13" s="47">
        <v>0.75</v>
      </c>
      <c r="Z13" s="47">
        <v>0.72570000000000001</v>
      </c>
      <c r="AA13" s="47">
        <v>0.77200000000000002</v>
      </c>
      <c r="AB13" s="46">
        <v>0.7</v>
      </c>
      <c r="AC13" s="46">
        <v>0.73</v>
      </c>
      <c r="AD13" s="47">
        <v>0.87590000000000001</v>
      </c>
      <c r="AE13" s="47">
        <v>0.8861</v>
      </c>
      <c r="AF13" s="46">
        <v>0.65</v>
      </c>
      <c r="AG13" s="46">
        <v>0.69</v>
      </c>
      <c r="AH13" s="46">
        <v>0.69</v>
      </c>
      <c r="AI13" s="46">
        <v>0.72</v>
      </c>
      <c r="AJ13" s="98">
        <v>0.83599999999999997</v>
      </c>
      <c r="AK13" s="98">
        <v>0.84299999999999997</v>
      </c>
      <c r="AL13" s="47"/>
      <c r="AM13" s="46"/>
      <c r="AN13" s="46">
        <v>0.35</v>
      </c>
      <c r="AO13" s="46">
        <v>0.54</v>
      </c>
      <c r="AP13" s="159">
        <v>1.1068</v>
      </c>
      <c r="AQ13" s="159">
        <v>1.0586</v>
      </c>
      <c r="AR13" s="36">
        <v>91.1</v>
      </c>
      <c r="AS13" s="36">
        <v>91.43</v>
      </c>
      <c r="AT13" s="36">
        <v>94.7</v>
      </c>
      <c r="AU13" s="36">
        <v>102.34</v>
      </c>
      <c r="AV13" s="36"/>
      <c r="AW13" s="36"/>
      <c r="AX13" s="73">
        <v>0.84</v>
      </c>
      <c r="AY13" s="73">
        <v>0.84</v>
      </c>
      <c r="AZ13" s="36">
        <v>0.5</v>
      </c>
      <c r="BA13" s="36">
        <v>0.59</v>
      </c>
      <c r="BB13" s="47">
        <v>0.745</v>
      </c>
      <c r="BC13" s="47">
        <v>0.85</v>
      </c>
      <c r="BD13" s="47">
        <v>0.56620000000000004</v>
      </c>
      <c r="BE13" s="47">
        <v>0.71120000000000005</v>
      </c>
      <c r="BF13" s="47">
        <v>0.64080000000000004</v>
      </c>
      <c r="BG13" s="47">
        <v>0.65039999999999998</v>
      </c>
      <c r="BH13" s="46">
        <v>0.47</v>
      </c>
      <c r="BI13" s="46">
        <v>0.66</v>
      </c>
      <c r="BJ13" s="46">
        <v>0.84</v>
      </c>
      <c r="BK13" s="46">
        <v>0.77</v>
      </c>
      <c r="BL13" s="36"/>
      <c r="BM13" s="36"/>
      <c r="BN13" s="47">
        <v>0.49719999999999998</v>
      </c>
      <c r="BO13" s="47">
        <v>0.73409999999999997</v>
      </c>
    </row>
    <row r="14" spans="1:67" ht="15" customHeight="1" x14ac:dyDescent="0.25">
      <c r="A14" s="15" t="s">
        <v>149</v>
      </c>
      <c r="B14" s="46">
        <v>1.6032</v>
      </c>
      <c r="C14" s="46">
        <v>2.0979999999999999</v>
      </c>
      <c r="D14" s="73">
        <v>1.1599999999999999</v>
      </c>
      <c r="E14" s="73">
        <v>1.33</v>
      </c>
      <c r="F14" s="46">
        <v>1.1909000000000001</v>
      </c>
      <c r="G14" s="46">
        <v>1.163</v>
      </c>
      <c r="H14" s="46">
        <v>0.82</v>
      </c>
      <c r="I14" s="46">
        <v>1.1200000000000001</v>
      </c>
      <c r="J14" s="98">
        <v>0.93799999999999994</v>
      </c>
      <c r="K14" s="98">
        <v>1.008</v>
      </c>
      <c r="L14" s="47">
        <v>1.2071000000000001</v>
      </c>
      <c r="M14" s="47">
        <v>1.2044999999999999</v>
      </c>
      <c r="N14" s="47">
        <v>1.0125</v>
      </c>
      <c r="O14" s="47">
        <v>1.0746</v>
      </c>
      <c r="P14" s="46">
        <v>2.69</v>
      </c>
      <c r="Q14" s="46">
        <v>1.59</v>
      </c>
      <c r="R14" s="46">
        <v>1.92</v>
      </c>
      <c r="S14" s="46">
        <v>1.82</v>
      </c>
      <c r="T14" s="47">
        <v>2.2711999999999999</v>
      </c>
      <c r="U14" s="47">
        <v>1.4641</v>
      </c>
      <c r="V14" s="92">
        <v>1.04</v>
      </c>
      <c r="W14" s="92">
        <v>1.03</v>
      </c>
      <c r="X14" s="47">
        <v>1.153</v>
      </c>
      <c r="Y14" s="47">
        <v>1.1740999999999999</v>
      </c>
      <c r="Z14" s="47">
        <v>0.97370000000000001</v>
      </c>
      <c r="AA14" s="47">
        <v>1.0263</v>
      </c>
      <c r="AB14" s="46">
        <v>1</v>
      </c>
      <c r="AC14" s="46">
        <v>1</v>
      </c>
      <c r="AD14" s="47">
        <v>1.0866</v>
      </c>
      <c r="AE14" s="47">
        <v>1.0779000000000001</v>
      </c>
      <c r="AF14" s="46">
        <v>1.0900000000000001</v>
      </c>
      <c r="AG14" s="46">
        <v>1.1200000000000001</v>
      </c>
      <c r="AH14" s="46">
        <v>1.08</v>
      </c>
      <c r="AI14" s="46">
        <v>1.18</v>
      </c>
      <c r="AJ14" s="98">
        <v>1.2150000000000001</v>
      </c>
      <c r="AK14" s="98">
        <v>1.2070000000000001</v>
      </c>
      <c r="AL14" s="46">
        <v>1.17</v>
      </c>
      <c r="AM14" s="46">
        <v>1.26</v>
      </c>
      <c r="AN14" s="46">
        <v>0.87</v>
      </c>
      <c r="AO14" s="46">
        <v>1.02</v>
      </c>
      <c r="AP14" s="159">
        <v>1.9511000000000001</v>
      </c>
      <c r="AQ14" s="159">
        <v>1.6080000000000001</v>
      </c>
      <c r="AR14" s="36">
        <v>116.61</v>
      </c>
      <c r="AS14" s="36">
        <v>116.43</v>
      </c>
      <c r="AT14" s="36">
        <v>150.75</v>
      </c>
      <c r="AU14" s="36">
        <v>141.1</v>
      </c>
      <c r="AV14" s="47">
        <v>1.1527000000000001</v>
      </c>
      <c r="AW14" s="47">
        <v>1.3391</v>
      </c>
      <c r="AX14" s="73">
        <v>1.08</v>
      </c>
      <c r="AY14" s="73">
        <v>1.1000000000000001</v>
      </c>
      <c r="AZ14" s="36">
        <v>0.91</v>
      </c>
      <c r="BA14" s="36">
        <v>0.98</v>
      </c>
      <c r="BB14" s="47">
        <v>1.0409999999999999</v>
      </c>
      <c r="BC14" s="47">
        <v>1.111</v>
      </c>
      <c r="BD14" s="47">
        <v>0.82050000000000001</v>
      </c>
      <c r="BE14" s="47">
        <v>0.9355</v>
      </c>
      <c r="BF14" s="47">
        <v>0.92</v>
      </c>
      <c r="BG14" s="47">
        <v>0.90920000000000001</v>
      </c>
      <c r="BH14" s="46">
        <v>0.68</v>
      </c>
      <c r="BI14" s="46">
        <v>0.93</v>
      </c>
      <c r="BJ14" s="46">
        <v>1.1000000000000001</v>
      </c>
      <c r="BK14" s="46">
        <v>1.1000000000000001</v>
      </c>
      <c r="BL14" s="47">
        <v>1.2418</v>
      </c>
      <c r="BM14" s="47">
        <v>1.3201000000000001</v>
      </c>
      <c r="BN14" s="47">
        <v>0.76629999999999998</v>
      </c>
      <c r="BO14" s="47">
        <v>0.96279999999999999</v>
      </c>
    </row>
    <row r="15" spans="1:67" ht="15" customHeight="1" x14ac:dyDescent="0.25">
      <c r="A15" s="15" t="s">
        <v>150</v>
      </c>
      <c r="B15" s="36">
        <v>2.69</v>
      </c>
      <c r="C15" s="23">
        <v>0.75</v>
      </c>
      <c r="D15" s="73">
        <v>1.63</v>
      </c>
      <c r="E15" s="73">
        <v>0.61</v>
      </c>
      <c r="F15" s="73">
        <v>-1.1100000000000001</v>
      </c>
      <c r="G15" s="36">
        <v>1.95</v>
      </c>
      <c r="H15" s="23">
        <v>1.69</v>
      </c>
      <c r="I15" s="23">
        <v>0.61</v>
      </c>
      <c r="J15" s="98">
        <v>6.74</v>
      </c>
      <c r="K15" s="105">
        <v>1.53</v>
      </c>
      <c r="L15" s="48">
        <v>6.94</v>
      </c>
      <c r="M15" s="36">
        <v>1.67</v>
      </c>
      <c r="N15" s="36">
        <v>-0.64</v>
      </c>
      <c r="O15" s="36">
        <v>2.2200000000000002</v>
      </c>
      <c r="P15" s="36">
        <v>10.65</v>
      </c>
      <c r="Q15" s="36">
        <v>1.47</v>
      </c>
      <c r="R15" s="36">
        <v>3.45</v>
      </c>
      <c r="S15" s="36">
        <v>1.29</v>
      </c>
      <c r="T15" s="36">
        <v>9.19</v>
      </c>
      <c r="U15" s="36">
        <v>9.19</v>
      </c>
      <c r="V15" s="36">
        <v>5.14</v>
      </c>
      <c r="W15" s="36">
        <v>1.53</v>
      </c>
      <c r="X15" s="36">
        <v>4.0599999999999996</v>
      </c>
      <c r="Y15" s="36">
        <v>1.1499999999999999</v>
      </c>
      <c r="Z15" s="23">
        <v>1.63</v>
      </c>
      <c r="AA15" s="23">
        <v>1.63</v>
      </c>
      <c r="AB15" s="36">
        <v>9.81</v>
      </c>
      <c r="AC15" s="36">
        <v>2.4700000000000002</v>
      </c>
      <c r="AE15" s="23">
        <v>1.58</v>
      </c>
      <c r="AF15" s="36">
        <v>4.4800000000000004</v>
      </c>
      <c r="AG15" s="36">
        <v>1.3</v>
      </c>
      <c r="AH15" s="36">
        <v>5.24</v>
      </c>
      <c r="AI15" s="36">
        <v>1.42</v>
      </c>
      <c r="AJ15" s="36">
        <v>8.06</v>
      </c>
      <c r="AK15" s="36">
        <v>2.04</v>
      </c>
      <c r="AL15" s="46">
        <v>2.23</v>
      </c>
      <c r="AM15" s="46">
        <v>0.62</v>
      </c>
      <c r="AN15" s="36">
        <v>1.86</v>
      </c>
      <c r="AO15" s="36">
        <v>0.61</v>
      </c>
      <c r="AP15" s="168">
        <v>8.9600000000000009</v>
      </c>
      <c r="AQ15" s="168">
        <v>2.37</v>
      </c>
      <c r="AR15" s="36">
        <v>5.99</v>
      </c>
      <c r="AS15" s="36">
        <v>1.54</v>
      </c>
      <c r="AT15" s="36">
        <v>6.27</v>
      </c>
      <c r="AU15" s="36">
        <v>1.76</v>
      </c>
      <c r="AV15" s="36">
        <v>5.48</v>
      </c>
      <c r="AW15" s="36">
        <v>2.19</v>
      </c>
      <c r="AX15" s="36">
        <v>10.039999999999999</v>
      </c>
      <c r="AY15" s="36">
        <v>1.98</v>
      </c>
      <c r="AZ15" s="36">
        <v>2.02</v>
      </c>
      <c r="BA15" s="36">
        <v>0.6</v>
      </c>
      <c r="BB15" s="36">
        <v>1.94</v>
      </c>
      <c r="BC15" s="36">
        <v>1.94</v>
      </c>
      <c r="BD15" s="36">
        <v>5.21</v>
      </c>
      <c r="BE15" s="36">
        <v>1.47</v>
      </c>
      <c r="BF15" s="47">
        <v>12.0297</v>
      </c>
      <c r="BG15" s="47">
        <v>3.2686999999999999</v>
      </c>
      <c r="BH15" s="46">
        <v>1.65</v>
      </c>
      <c r="BI15" s="46">
        <v>0.6</v>
      </c>
      <c r="BJ15" s="36">
        <v>6.51</v>
      </c>
      <c r="BK15" s="36">
        <v>1.68</v>
      </c>
      <c r="BL15" s="47">
        <v>4.0800000000000003E-2</v>
      </c>
      <c r="BM15" s="47">
        <v>2.0545</v>
      </c>
      <c r="BN15" s="36">
        <v>1.87</v>
      </c>
      <c r="BO15" s="36">
        <v>1.36</v>
      </c>
    </row>
    <row r="16" spans="1:67" x14ac:dyDescent="0.25">
      <c r="A16" s="15" t="s">
        <v>151</v>
      </c>
      <c r="B16" s="36">
        <v>-0.91</v>
      </c>
      <c r="C16" s="23">
        <v>-1.3</v>
      </c>
      <c r="D16" s="73">
        <v>-0.33</v>
      </c>
      <c r="E16" s="73">
        <v>-0.48</v>
      </c>
      <c r="F16" s="73">
        <v>-0.2</v>
      </c>
      <c r="G16" s="36">
        <v>-0.16</v>
      </c>
      <c r="H16" s="23">
        <v>0.18</v>
      </c>
      <c r="I16" s="23">
        <v>-0.13</v>
      </c>
      <c r="J16" s="98">
        <v>0.08</v>
      </c>
      <c r="K16" s="98">
        <v>0</v>
      </c>
      <c r="L16" s="50">
        <v>-0.2</v>
      </c>
      <c r="M16" s="36">
        <v>-0.24</v>
      </c>
      <c r="N16" s="36">
        <v>-0.31</v>
      </c>
      <c r="O16" s="36">
        <v>-7.0000000000000007E-2</v>
      </c>
      <c r="P16" s="36">
        <v>-1.36</v>
      </c>
      <c r="Q16" s="23">
        <v>-0.52</v>
      </c>
      <c r="R16" s="36">
        <v>-1.41</v>
      </c>
      <c r="S16" s="36">
        <v>-1.1100000000000001</v>
      </c>
      <c r="T16" s="49">
        <v>-1.5981000000000001</v>
      </c>
      <c r="U16" s="49">
        <v>-0.52049999999999996</v>
      </c>
      <c r="V16" s="50">
        <v>-0.1</v>
      </c>
      <c r="W16" s="50">
        <v>-7.0000000000000007E-2</v>
      </c>
      <c r="X16" s="36">
        <v>-0.23</v>
      </c>
      <c r="Y16" s="36">
        <v>-0.28000000000000003</v>
      </c>
      <c r="Z16" s="23">
        <v>-0.01</v>
      </c>
      <c r="AA16" s="23">
        <v>-0.04</v>
      </c>
      <c r="AB16" s="36">
        <v>-0.01</v>
      </c>
      <c r="AC16" s="36">
        <v>-0.01</v>
      </c>
      <c r="AD16" s="47">
        <v>-9.11E-2</v>
      </c>
      <c r="AE16" s="47">
        <v>-8.2699999999999996E-2</v>
      </c>
      <c r="AF16" s="23">
        <v>-0.23</v>
      </c>
      <c r="AG16" s="23">
        <v>-0.25</v>
      </c>
      <c r="AH16" s="36">
        <v>-0.14000000000000001</v>
      </c>
      <c r="AI16" s="36">
        <v>-0.25</v>
      </c>
      <c r="AJ16" s="36">
        <v>-0.23</v>
      </c>
      <c r="AK16" s="36">
        <v>-0.25</v>
      </c>
      <c r="AL16" s="46">
        <v>-0.24</v>
      </c>
      <c r="AM16" s="46">
        <v>-0.31</v>
      </c>
      <c r="AN16" s="36">
        <v>0.11</v>
      </c>
      <c r="AO16" s="36">
        <v>-0.08</v>
      </c>
      <c r="AP16" s="168">
        <v>-0.91</v>
      </c>
      <c r="AQ16" s="168">
        <v>-0.59</v>
      </c>
      <c r="AR16" s="36">
        <v>-0.17</v>
      </c>
      <c r="AS16" s="36">
        <v>-0.17</v>
      </c>
      <c r="AT16" s="36">
        <v>-0.51</v>
      </c>
      <c r="AU16" s="36">
        <v>-0.41</v>
      </c>
      <c r="AV16" s="36">
        <v>-1.04</v>
      </c>
      <c r="AW16" s="36">
        <v>-0.68</v>
      </c>
      <c r="AX16" s="36">
        <v>-0.01</v>
      </c>
      <c r="AY16" s="36">
        <v>-0.09</v>
      </c>
      <c r="AZ16" s="36">
        <v>0.01</v>
      </c>
      <c r="BA16" s="36">
        <v>-0.03</v>
      </c>
      <c r="BB16" s="36">
        <v>-0.05</v>
      </c>
      <c r="BC16" s="36">
        <v>-0.12</v>
      </c>
      <c r="BD16" s="36">
        <v>0.08</v>
      </c>
      <c r="BE16" s="36">
        <v>0.02</v>
      </c>
      <c r="BF16" s="47">
        <v>5.7599999999999998E-2</v>
      </c>
      <c r="BG16" s="47">
        <v>8.6800000000000002E-2</v>
      </c>
      <c r="BH16" s="46">
        <v>0.3</v>
      </c>
      <c r="BI16" s="46">
        <v>0.03</v>
      </c>
      <c r="BJ16" s="36">
        <v>-0.11</v>
      </c>
      <c r="BK16" s="36">
        <v>-0.09</v>
      </c>
      <c r="BL16" s="47">
        <v>-0.22559999999999999</v>
      </c>
      <c r="BM16" s="47">
        <v>-0.32</v>
      </c>
      <c r="BN16" s="36">
        <v>0.17</v>
      </c>
      <c r="BO16" s="36">
        <v>0.01</v>
      </c>
    </row>
    <row r="17" spans="1:67" x14ac:dyDescent="0.25">
      <c r="A17" s="15" t="s">
        <v>152</v>
      </c>
      <c r="B17" s="46">
        <v>-0.79159999999999997</v>
      </c>
      <c r="C17" s="46">
        <v>-1.2022999999999999</v>
      </c>
      <c r="D17" s="73">
        <v>-0.28999999999999998</v>
      </c>
      <c r="E17" s="73">
        <v>-0.42</v>
      </c>
      <c r="F17" s="46">
        <v>8.1699999999999995E-2</v>
      </c>
      <c r="G17" s="46">
        <v>4.8399999999999999E-2</v>
      </c>
      <c r="H17" s="46">
        <v>0.39</v>
      </c>
      <c r="I17" s="46">
        <v>0</v>
      </c>
      <c r="J17" s="98">
        <v>0.60099999999999998</v>
      </c>
      <c r="K17" s="98">
        <v>0.14499999999999999</v>
      </c>
      <c r="L17" s="47">
        <v>-3.3399999999999999E-2</v>
      </c>
      <c r="M17" s="47">
        <v>-6.1800000000000001E-2</v>
      </c>
      <c r="N17" s="47">
        <v>4.7E-2</v>
      </c>
      <c r="O17" s="47">
        <v>0.15679999999999999</v>
      </c>
      <c r="P17" s="46">
        <v>-1.18</v>
      </c>
      <c r="Q17" s="46">
        <v>-0.39</v>
      </c>
      <c r="R17" s="46">
        <v>-1.33</v>
      </c>
      <c r="S17" s="46">
        <v>-1.06</v>
      </c>
      <c r="T17" s="47">
        <v>-1.0401</v>
      </c>
      <c r="U17" s="47">
        <v>0.1046</v>
      </c>
      <c r="V17" s="92">
        <v>0.06</v>
      </c>
      <c r="W17" s="92">
        <v>7.0000000000000007E-2</v>
      </c>
      <c r="X17" s="47">
        <v>-0.1028</v>
      </c>
      <c r="Y17" s="47">
        <v>-0.18279999999999999</v>
      </c>
      <c r="Z17" s="47">
        <v>0.21</v>
      </c>
      <c r="AA17" s="47">
        <v>0.1263</v>
      </c>
      <c r="AB17" s="46">
        <v>0.2</v>
      </c>
      <c r="AC17" s="46">
        <v>0.16</v>
      </c>
      <c r="AD17" s="47">
        <v>3.6200000000000003E-2</v>
      </c>
      <c r="AE17" s="47">
        <v>3.3700000000000001E-2</v>
      </c>
      <c r="AF17" s="46">
        <v>-0.12</v>
      </c>
      <c r="AG17" s="46">
        <v>-0.13</v>
      </c>
      <c r="AH17" s="46">
        <v>0</v>
      </c>
      <c r="AI17" s="46">
        <v>-0.13</v>
      </c>
      <c r="AJ17" s="46">
        <v>-3.0000000000000001E-3</v>
      </c>
      <c r="AK17" s="98">
        <v>1.0999999999999999E-2</v>
      </c>
      <c r="AL17" s="46">
        <v>-0.19</v>
      </c>
      <c r="AM17" s="46">
        <v>-0.25</v>
      </c>
      <c r="AN17" s="46">
        <v>0.14000000000000001</v>
      </c>
      <c r="AO17" s="46">
        <v>-0.04</v>
      </c>
      <c r="AP17" s="159">
        <v>-0.73080000000000001</v>
      </c>
      <c r="AQ17" s="159">
        <v>-0.39550000000000002</v>
      </c>
      <c r="AR17" s="36">
        <v>-2.2999999999999998</v>
      </c>
      <c r="AS17" s="36">
        <v>1.76</v>
      </c>
      <c r="AT17" s="36">
        <v>-37.72</v>
      </c>
      <c r="AU17" s="36">
        <v>-15.24</v>
      </c>
      <c r="AV17" s="47">
        <v>-0.34760000000000002</v>
      </c>
      <c r="AW17" s="47">
        <v>-9.4399999999999998E-2</v>
      </c>
      <c r="AX17" s="73">
        <v>0.19</v>
      </c>
      <c r="AY17" s="73">
        <v>0.11</v>
      </c>
      <c r="AZ17" s="36">
        <v>0.06</v>
      </c>
      <c r="BA17" s="36">
        <v>0.03</v>
      </c>
      <c r="BB17" s="47">
        <v>0.10299999999999999</v>
      </c>
      <c r="BC17" s="47">
        <v>2.86E-2</v>
      </c>
      <c r="BD17" s="47">
        <v>0.23230000000000001</v>
      </c>
      <c r="BE17" s="47">
        <v>0.15670000000000001</v>
      </c>
      <c r="BF17" s="47">
        <v>0.48649999999999999</v>
      </c>
      <c r="BG17" s="47">
        <v>0.4</v>
      </c>
      <c r="BH17" s="46">
        <v>0.32</v>
      </c>
      <c r="BI17" s="46">
        <v>7.0000000000000007E-2</v>
      </c>
      <c r="BJ17" s="46">
        <v>0.01</v>
      </c>
      <c r="BK17" s="46">
        <v>7.0000000000000007E-2</v>
      </c>
      <c r="BL17" s="47">
        <v>-3.9600000000000003E-2</v>
      </c>
      <c r="BM17" s="47">
        <v>-0.1167</v>
      </c>
      <c r="BN17" s="47">
        <v>0.2394</v>
      </c>
      <c r="BO17" s="47">
        <v>0.11749999999999999</v>
      </c>
    </row>
    <row r="18" spans="1:67" x14ac:dyDescent="0.25">
      <c r="A18" s="15" t="s">
        <v>153</v>
      </c>
      <c r="B18" s="36">
        <v>0.4</v>
      </c>
      <c r="C18" s="23">
        <v>0.4</v>
      </c>
      <c r="D18" s="73">
        <v>0.08</v>
      </c>
      <c r="E18" s="73">
        <v>0.08</v>
      </c>
      <c r="F18" s="73">
        <v>6.75</v>
      </c>
      <c r="G18" s="36">
        <v>2.44</v>
      </c>
      <c r="H18" s="23">
        <v>0.43</v>
      </c>
      <c r="I18" s="23">
        <v>0.43</v>
      </c>
      <c r="J18" s="98">
        <v>0.27</v>
      </c>
      <c r="K18" s="98">
        <v>0.27</v>
      </c>
      <c r="L18" s="48">
        <v>0.26</v>
      </c>
      <c r="M18" s="36">
        <v>0.26</v>
      </c>
      <c r="N18" s="23">
        <v>-0.75</v>
      </c>
      <c r="O18" s="36">
        <v>0.15</v>
      </c>
      <c r="P18" s="23">
        <v>0.59</v>
      </c>
      <c r="Q18" s="36">
        <v>0.59</v>
      </c>
      <c r="R18" s="36">
        <v>0.26</v>
      </c>
      <c r="S18" s="36">
        <v>0.26</v>
      </c>
      <c r="T18" s="36">
        <v>0.84</v>
      </c>
      <c r="U18" s="36">
        <v>0.39</v>
      </c>
      <c r="V18" s="36">
        <v>0.14000000000000001</v>
      </c>
      <c r="W18" s="36">
        <v>0.14000000000000001</v>
      </c>
      <c r="X18" s="47">
        <v>0.2026</v>
      </c>
      <c r="Y18" s="47">
        <v>0.2026</v>
      </c>
      <c r="Z18" s="23">
        <v>0.28999999999999998</v>
      </c>
      <c r="AA18" s="23">
        <v>0.28999999999999998</v>
      </c>
      <c r="AB18" s="36">
        <v>0.12</v>
      </c>
      <c r="AC18" s="36">
        <v>0.12</v>
      </c>
      <c r="AD18" s="47"/>
      <c r="AE18" s="23">
        <v>0.33</v>
      </c>
      <c r="AF18" s="23">
        <v>0.11</v>
      </c>
      <c r="AG18" s="36">
        <v>0.11</v>
      </c>
      <c r="AH18" s="36">
        <v>0.27</v>
      </c>
      <c r="AI18" s="36">
        <v>0.27</v>
      </c>
      <c r="AJ18" s="36">
        <v>0.13</v>
      </c>
      <c r="AK18" s="36">
        <v>0.13</v>
      </c>
      <c r="AL18" s="46">
        <v>0.41</v>
      </c>
      <c r="AM18" s="46">
        <v>0.41</v>
      </c>
      <c r="AN18" s="46">
        <v>0.54</v>
      </c>
      <c r="AO18" s="46">
        <v>0.54</v>
      </c>
      <c r="AP18" s="168">
        <v>0.24</v>
      </c>
      <c r="AQ18" s="168">
        <v>0.24</v>
      </c>
      <c r="AR18" s="36">
        <v>0.4</v>
      </c>
      <c r="AS18" s="36">
        <v>0.4</v>
      </c>
      <c r="AT18" s="36">
        <v>0.27</v>
      </c>
      <c r="AU18" s="36">
        <v>0.27</v>
      </c>
      <c r="AV18" s="36">
        <v>0.6</v>
      </c>
      <c r="AW18" s="36">
        <v>0.6</v>
      </c>
      <c r="AX18" s="36">
        <v>0.3</v>
      </c>
      <c r="AY18" s="36">
        <v>0.3</v>
      </c>
      <c r="AZ18" s="36">
        <v>0.39</v>
      </c>
      <c r="BA18" s="36">
        <v>0.39</v>
      </c>
      <c r="BB18" s="36">
        <v>0.01</v>
      </c>
      <c r="BC18" s="36">
        <v>0.25</v>
      </c>
      <c r="BD18" s="36">
        <v>0.23</v>
      </c>
      <c r="BE18" s="36">
        <v>0.23</v>
      </c>
      <c r="BF18" s="47">
        <v>0.59689999999999999</v>
      </c>
      <c r="BG18" s="47">
        <v>0.59689999999999999</v>
      </c>
      <c r="BH18" s="46">
        <v>0.34</v>
      </c>
      <c r="BI18" s="46">
        <v>0.34</v>
      </c>
      <c r="BJ18" s="36">
        <v>0.13</v>
      </c>
      <c r="BK18" s="36">
        <v>0.13</v>
      </c>
      <c r="BL18" s="36"/>
      <c r="BM18" s="47">
        <v>0.17460000000000001</v>
      </c>
      <c r="BN18" s="36">
        <v>0.43</v>
      </c>
      <c r="BO18" s="36">
        <v>0.43</v>
      </c>
    </row>
    <row r="19" spans="1:67" x14ac:dyDescent="0.25">
      <c r="A19" s="15" t="s">
        <v>154</v>
      </c>
      <c r="B19" s="46">
        <v>-0.53480000000000005</v>
      </c>
      <c r="C19" s="46">
        <v>-0.99050000000000005</v>
      </c>
      <c r="D19" s="73">
        <v>-0.22</v>
      </c>
      <c r="E19" s="73">
        <v>-0.35</v>
      </c>
      <c r="F19" s="46">
        <v>0.1777</v>
      </c>
      <c r="G19" s="46">
        <v>8.4099999999999994E-2</v>
      </c>
      <c r="H19" s="46">
        <v>0.17</v>
      </c>
      <c r="I19" s="46">
        <v>-0.09</v>
      </c>
      <c r="J19" s="98">
        <v>0.16300000000000001</v>
      </c>
      <c r="K19" s="98">
        <v>0.125</v>
      </c>
      <c r="L19" s="47">
        <v>-0.20830000000000001</v>
      </c>
      <c r="M19" s="47">
        <v>-0.1216</v>
      </c>
      <c r="N19" s="47">
        <v>7.0900000000000005E-2</v>
      </c>
      <c r="O19" s="47">
        <v>4.3799999999999999E-2</v>
      </c>
      <c r="P19" s="46">
        <v>-2.64</v>
      </c>
      <c r="Q19" s="46">
        <v>-0.61</v>
      </c>
      <c r="R19" s="46">
        <v>-1.4</v>
      </c>
      <c r="S19" s="46">
        <v>-1.04</v>
      </c>
      <c r="T19" s="47">
        <v>-0.4718</v>
      </c>
      <c r="U19" s="47">
        <v>0.40870000000000001</v>
      </c>
      <c r="V19" s="92">
        <v>0.04</v>
      </c>
      <c r="W19" s="92">
        <v>0.05</v>
      </c>
      <c r="X19" s="47">
        <v>-7.8E-2</v>
      </c>
      <c r="Y19" s="47">
        <v>-0.14119999999999999</v>
      </c>
      <c r="Z19" s="47">
        <v>0.12640000000000001</v>
      </c>
      <c r="AA19" s="47">
        <v>9.6699999999999994E-2</v>
      </c>
      <c r="AB19" s="46">
        <v>0.12</v>
      </c>
      <c r="AC19" s="46">
        <v>0.13</v>
      </c>
      <c r="AD19" s="47">
        <v>1.6899999999999998E-2</v>
      </c>
      <c r="AE19" s="47">
        <v>4.3200000000000002E-2</v>
      </c>
      <c r="AF19" s="46">
        <v>-0.08</v>
      </c>
      <c r="AG19" s="46">
        <v>-7.0000000000000007E-2</v>
      </c>
      <c r="AH19" s="46">
        <v>0.04</v>
      </c>
      <c r="AI19" s="46">
        <v>-0.09</v>
      </c>
      <c r="AJ19" s="46">
        <v>-6.6000000000000003E-2</v>
      </c>
      <c r="AK19" s="98">
        <v>-8.0000000000000002E-3</v>
      </c>
      <c r="AL19" s="46">
        <v>-0.27</v>
      </c>
      <c r="AM19" s="46">
        <v>-0.24</v>
      </c>
      <c r="AN19" s="46">
        <v>0.12</v>
      </c>
      <c r="AO19" s="46">
        <v>-0.06</v>
      </c>
      <c r="AP19" s="159">
        <v>-0.78220000000000001</v>
      </c>
      <c r="AQ19" s="159">
        <v>-0.43469999999999998</v>
      </c>
      <c r="AR19" s="36">
        <v>2.0099999999999998</v>
      </c>
      <c r="AS19" s="36">
        <v>5.79</v>
      </c>
      <c r="AT19" s="36">
        <v>-36.75</v>
      </c>
      <c r="AU19" s="36">
        <v>-13.87</v>
      </c>
      <c r="AV19" s="47">
        <v>-0.46910000000000002</v>
      </c>
      <c r="AW19" s="47">
        <v>-0.43359999999999999</v>
      </c>
      <c r="AX19" s="73">
        <v>0.09</v>
      </c>
      <c r="AY19" s="73">
        <v>7.0000000000000007E-2</v>
      </c>
      <c r="AZ19" s="36">
        <v>7.0000000000000007E-2</v>
      </c>
      <c r="BA19" s="36">
        <v>0.04</v>
      </c>
      <c r="BB19" s="47">
        <v>8.9999999999999993E-3</v>
      </c>
      <c r="BC19" s="47">
        <v>0.01</v>
      </c>
      <c r="BD19" s="47">
        <v>0.13469999999999999</v>
      </c>
      <c r="BE19" s="47">
        <v>0.1154</v>
      </c>
      <c r="BF19" s="47">
        <v>0.34449999999999997</v>
      </c>
      <c r="BG19" s="47">
        <v>0.3216</v>
      </c>
      <c r="BH19" s="46">
        <v>0.25</v>
      </c>
      <c r="BI19" s="46">
        <v>0.05</v>
      </c>
      <c r="BJ19" s="46">
        <v>0.03</v>
      </c>
      <c r="BK19" s="46">
        <v>7.0000000000000007E-2</v>
      </c>
      <c r="BL19" s="47">
        <v>-3.2599999999999997E-2</v>
      </c>
      <c r="BM19" s="47">
        <v>-0.1081</v>
      </c>
      <c r="BN19" s="47">
        <v>0.1913</v>
      </c>
      <c r="BO19" s="47">
        <v>0.1027</v>
      </c>
    </row>
    <row r="20" spans="1:67" x14ac:dyDescent="0.25">
      <c r="A20" s="15" t="s">
        <v>155</v>
      </c>
      <c r="B20" s="46">
        <v>-0.1326</v>
      </c>
      <c r="C20" s="46">
        <v>-0.88629999999999998</v>
      </c>
      <c r="D20" s="73">
        <v>-0.21</v>
      </c>
      <c r="E20" s="73">
        <v>-0.88</v>
      </c>
      <c r="F20" s="46">
        <v>1.6500000000000001E-2</v>
      </c>
      <c r="G20" s="46">
        <v>4.48E-2</v>
      </c>
      <c r="H20" s="46">
        <v>0.2</v>
      </c>
      <c r="I20" s="46">
        <v>-0.28000000000000003</v>
      </c>
      <c r="J20" s="98">
        <v>5.3999999999999999E-2</v>
      </c>
      <c r="K20" s="98">
        <v>0.16800000000000001</v>
      </c>
      <c r="L20" s="47">
        <v>-0.1517</v>
      </c>
      <c r="M20" s="47">
        <v>-0.36820000000000003</v>
      </c>
      <c r="N20" s="47">
        <v>3.7900000000000003E-2</v>
      </c>
      <c r="O20" s="47">
        <v>9.4899999999999998E-2</v>
      </c>
      <c r="P20" s="46">
        <v>-0.23</v>
      </c>
      <c r="Q20" s="46">
        <v>-0.38</v>
      </c>
      <c r="R20" s="46">
        <v>-0.32</v>
      </c>
      <c r="S20" s="46">
        <v>-0.77</v>
      </c>
      <c r="T20" s="47">
        <v>6.2100000000000002E-2</v>
      </c>
      <c r="U20" s="47">
        <v>6.2100000000000002E-2</v>
      </c>
      <c r="V20" s="92">
        <v>0.02</v>
      </c>
      <c r="W20" s="92">
        <v>0.1</v>
      </c>
      <c r="X20" s="47">
        <v>-2.5999999999999999E-2</v>
      </c>
      <c r="Y20" s="47">
        <v>-0.15609999999999999</v>
      </c>
      <c r="Z20" s="47">
        <v>0.18390000000000001</v>
      </c>
      <c r="AA20" s="47">
        <v>0.18390000000000001</v>
      </c>
      <c r="AB20" s="46">
        <v>0.05</v>
      </c>
      <c r="AC20" s="46">
        <v>0.19</v>
      </c>
      <c r="AD20" s="47"/>
      <c r="AE20" s="47">
        <v>8.3299999999999999E-2</v>
      </c>
      <c r="AF20" s="46">
        <v>-0.06</v>
      </c>
      <c r="AG20" s="46">
        <v>-0.17</v>
      </c>
      <c r="AH20" s="46">
        <v>7.0000000000000007E-2</v>
      </c>
      <c r="AI20" s="46">
        <v>-0.16</v>
      </c>
      <c r="AJ20" s="98">
        <v>-3.7999999999999999E-2</v>
      </c>
      <c r="AK20" s="46">
        <v>-1.7000000000000001E-2</v>
      </c>
      <c r="AL20" s="46">
        <v>-0.24</v>
      </c>
      <c r="AM20" s="46">
        <v>-0.78</v>
      </c>
      <c r="AN20" s="46">
        <v>0.11</v>
      </c>
      <c r="AO20" s="46">
        <v>-0.18</v>
      </c>
      <c r="AP20" s="36"/>
      <c r="AQ20" s="36"/>
      <c r="AR20" s="36">
        <v>3.09</v>
      </c>
      <c r="AS20" s="36">
        <v>9.01</v>
      </c>
      <c r="AT20" s="36">
        <v>-566.85</v>
      </c>
      <c r="AU20" s="36">
        <v>-760.68</v>
      </c>
      <c r="AV20" s="47">
        <v>-0.18049999999999999</v>
      </c>
      <c r="AW20" s="47">
        <v>-0.41749999999999998</v>
      </c>
      <c r="AX20" s="73">
        <v>0.04</v>
      </c>
      <c r="AY20" s="73">
        <v>0.14000000000000001</v>
      </c>
      <c r="AZ20" s="36">
        <v>0.06</v>
      </c>
      <c r="BA20" s="36">
        <v>0.11</v>
      </c>
      <c r="BB20" s="47">
        <v>5.0000000000000001E-3</v>
      </c>
      <c r="BC20" s="47">
        <v>2.1000000000000001E-2</v>
      </c>
      <c r="BD20" s="47">
        <v>6.0999999999999999E-2</v>
      </c>
      <c r="BE20" s="47">
        <v>0.186</v>
      </c>
      <c r="BF20" s="47">
        <v>0.1099</v>
      </c>
      <c r="BG20" s="47">
        <v>0.37140000000000001</v>
      </c>
      <c r="BH20" s="46">
        <v>0.26</v>
      </c>
      <c r="BI20" s="46">
        <v>0.14000000000000001</v>
      </c>
      <c r="BJ20" s="46">
        <v>0.02</v>
      </c>
      <c r="BK20" s="46">
        <v>0.13</v>
      </c>
      <c r="BL20" s="36"/>
      <c r="BM20" s="47">
        <v>-1.0297000000000001</v>
      </c>
      <c r="BN20" s="47">
        <v>7.7499999999999999E-2</v>
      </c>
      <c r="BO20" s="47">
        <v>0.1502</v>
      </c>
    </row>
    <row r="21" spans="1:67" ht="30" x14ac:dyDescent="0.25">
      <c r="A21" s="15" t="s">
        <v>156</v>
      </c>
      <c r="B21" s="36">
        <v>4.24</v>
      </c>
      <c r="C21" s="36">
        <v>4.24</v>
      </c>
      <c r="D21" s="50">
        <v>1.81</v>
      </c>
      <c r="E21" s="50">
        <v>1.81</v>
      </c>
      <c r="F21" s="36">
        <v>2.83</v>
      </c>
      <c r="G21" s="36">
        <v>2.83</v>
      </c>
      <c r="H21" s="23">
        <v>1.74</v>
      </c>
      <c r="I21" s="23">
        <v>1.74</v>
      </c>
      <c r="J21" s="98">
        <v>2.54</v>
      </c>
      <c r="K21" s="98">
        <v>2.54</v>
      </c>
      <c r="L21" s="36">
        <v>1.63</v>
      </c>
      <c r="M21" s="36">
        <v>1.63</v>
      </c>
      <c r="N21" s="36">
        <v>1.58</v>
      </c>
      <c r="O21" s="36">
        <v>1.58</v>
      </c>
      <c r="P21" s="36">
        <v>3.35</v>
      </c>
      <c r="Q21" s="36">
        <v>3.35</v>
      </c>
      <c r="R21" s="36">
        <v>2.36</v>
      </c>
      <c r="S21" s="36">
        <v>2.36</v>
      </c>
      <c r="T21" s="36"/>
      <c r="U21" s="23">
        <v>15.02</v>
      </c>
      <c r="V21" s="36">
        <v>1.51</v>
      </c>
      <c r="W21" s="36">
        <v>1.51</v>
      </c>
      <c r="X21" s="36">
        <v>3.24</v>
      </c>
      <c r="Y21" s="36">
        <v>3.24</v>
      </c>
      <c r="Z21" s="36">
        <v>1.89</v>
      </c>
      <c r="AA21" s="36">
        <v>1.89</v>
      </c>
      <c r="AB21" s="36">
        <v>2.17</v>
      </c>
      <c r="AC21" s="36">
        <v>2.17</v>
      </c>
      <c r="AD21" s="47"/>
      <c r="AE21" s="23">
        <v>1.58</v>
      </c>
      <c r="AF21" s="36">
        <v>2.13</v>
      </c>
      <c r="AG21" s="36">
        <v>2.13</v>
      </c>
      <c r="AH21" s="36">
        <v>2.1800000000000002</v>
      </c>
      <c r="AI21" s="36">
        <v>2.1800000000000002</v>
      </c>
      <c r="AJ21" s="36">
        <v>1.71</v>
      </c>
      <c r="AK21" s="36">
        <v>1.71</v>
      </c>
      <c r="AL21" s="46">
        <v>1.9</v>
      </c>
      <c r="AM21" s="46">
        <v>1.9</v>
      </c>
      <c r="AN21" s="23">
        <v>0.23</v>
      </c>
      <c r="AO21" s="23">
        <v>0.23</v>
      </c>
      <c r="AP21" s="36"/>
      <c r="AQ21" s="168">
        <v>0.02</v>
      </c>
      <c r="AR21" s="36">
        <v>2.13</v>
      </c>
      <c r="AS21" s="36">
        <v>2.11</v>
      </c>
      <c r="AT21" s="36">
        <v>14.63</v>
      </c>
      <c r="AU21" s="36">
        <v>0.92</v>
      </c>
      <c r="AV21" s="36">
        <v>2.46</v>
      </c>
      <c r="AW21" s="36">
        <v>2.46</v>
      </c>
      <c r="AX21" s="36">
        <v>1.52</v>
      </c>
      <c r="AY21" s="36">
        <v>1.52</v>
      </c>
      <c r="AZ21" s="36">
        <v>1.55</v>
      </c>
      <c r="BA21" s="36">
        <v>1.55</v>
      </c>
      <c r="BB21" s="36">
        <v>1.69</v>
      </c>
      <c r="BC21" s="36">
        <v>1.69</v>
      </c>
      <c r="BD21" s="36">
        <v>2.27</v>
      </c>
      <c r="BE21" s="36">
        <v>2.27</v>
      </c>
      <c r="BF21" s="36">
        <v>3.67</v>
      </c>
      <c r="BG21" s="36">
        <v>3.67</v>
      </c>
      <c r="BH21" s="46"/>
      <c r="BI21" s="36">
        <v>1.88</v>
      </c>
      <c r="BJ21" s="36">
        <v>1.84</v>
      </c>
      <c r="BK21" s="36">
        <v>1.84</v>
      </c>
      <c r="BL21" s="36"/>
      <c r="BM21" s="36">
        <v>0.3</v>
      </c>
      <c r="BN21" s="36">
        <v>2.2799999999999998</v>
      </c>
      <c r="BO21" s="36">
        <v>2.2799999999999998</v>
      </c>
    </row>
    <row r="22" spans="1:67" x14ac:dyDescent="0.25">
      <c r="A22" s="15" t="s">
        <v>157</v>
      </c>
      <c r="B22" s="36"/>
      <c r="C22" s="36"/>
      <c r="D22" s="36"/>
      <c r="E22" s="36"/>
      <c r="F22" s="36">
        <v>0.01</v>
      </c>
      <c r="G22" s="36">
        <v>0.01</v>
      </c>
      <c r="H22" s="47"/>
      <c r="I22" s="47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47"/>
      <c r="AE22" s="47"/>
      <c r="AF22" s="36"/>
      <c r="AG22" s="36"/>
      <c r="AH22" s="36"/>
      <c r="AI22" s="47"/>
      <c r="AJ22" s="36"/>
      <c r="AK22" s="36"/>
      <c r="AL22" s="36"/>
      <c r="AM22" s="36"/>
      <c r="AN22" s="36">
        <v>1.77</v>
      </c>
      <c r="AO22" s="36">
        <v>1.77</v>
      </c>
      <c r="AP22" s="36"/>
      <c r="AQ22" s="36"/>
      <c r="AR22" s="36"/>
      <c r="AS22" s="36"/>
      <c r="AT22" s="36"/>
      <c r="AU22" s="36"/>
      <c r="AV22" s="36"/>
      <c r="AW22" s="47">
        <v>0.75</v>
      </c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47">
        <v>7.1000000000000004E-3</v>
      </c>
      <c r="BO22" s="47">
        <v>7.1000000000000004E-3</v>
      </c>
    </row>
    <row r="23" spans="1:67" x14ac:dyDescent="0.25">
      <c r="A23" s="15" t="s">
        <v>158</v>
      </c>
      <c r="B23" s="47">
        <v>1.18E-2</v>
      </c>
      <c r="C23" s="47">
        <v>1.18E-2</v>
      </c>
      <c r="D23" s="36"/>
      <c r="E23" s="36"/>
      <c r="F23" s="36"/>
      <c r="G23" s="47"/>
      <c r="H23" s="23">
        <v>5.98</v>
      </c>
      <c r="I23" s="23">
        <v>5.98</v>
      </c>
      <c r="J23" s="36"/>
      <c r="K23" s="47">
        <v>8.9999999999999993E-3</v>
      </c>
      <c r="L23" s="49">
        <v>5.79E-2</v>
      </c>
      <c r="M23" s="49">
        <v>5.79E-2</v>
      </c>
      <c r="N23" s="47">
        <v>3.8300000000000001E-2</v>
      </c>
      <c r="O23" s="47">
        <v>3.8300000000000001E-2</v>
      </c>
      <c r="P23" s="49"/>
      <c r="Q23" s="49"/>
      <c r="R23" s="36"/>
      <c r="S23" s="36"/>
      <c r="T23" s="36"/>
      <c r="U23" s="47"/>
      <c r="V23" s="47">
        <v>8.6999999999999994E-3</v>
      </c>
      <c r="W23" s="47">
        <v>8.6999999999999994E-3</v>
      </c>
      <c r="X23" s="36"/>
      <c r="Y23" s="36"/>
      <c r="Z23" s="36"/>
      <c r="AA23" s="36"/>
      <c r="AB23" s="36"/>
      <c r="AC23" s="36"/>
      <c r="AD23" s="47"/>
      <c r="AE23" s="47">
        <v>2.3E-2</v>
      </c>
      <c r="AF23" s="36"/>
      <c r="AG23" s="36"/>
      <c r="AH23" s="36"/>
      <c r="AI23" s="36"/>
      <c r="AJ23" s="98">
        <v>1.6E-2</v>
      </c>
      <c r="AK23" s="98">
        <v>1.6E-2</v>
      </c>
      <c r="AL23" s="36"/>
      <c r="AM23" s="36"/>
      <c r="AN23" s="47">
        <v>8.2100000000000006E-2</v>
      </c>
      <c r="AO23" s="47">
        <v>8.2100000000000006E-2</v>
      </c>
      <c r="AP23" s="36"/>
      <c r="AQ23" s="159">
        <v>1.23E-2</v>
      </c>
      <c r="AR23" s="36">
        <v>1.59</v>
      </c>
      <c r="AS23" s="36">
        <v>1.59</v>
      </c>
      <c r="AT23" s="36"/>
      <c r="AU23" s="36">
        <v>2.29</v>
      </c>
      <c r="AV23" s="36"/>
      <c r="AW23" s="47">
        <v>4.1200000000000001E-2</v>
      </c>
      <c r="AX23" s="49">
        <v>2.1000000000000001E-2</v>
      </c>
      <c r="AY23" s="49">
        <v>2.1000000000000001E-2</v>
      </c>
      <c r="AZ23" s="36"/>
      <c r="BA23" s="36"/>
      <c r="BB23" s="47"/>
      <c r="BC23" s="47"/>
      <c r="BD23" s="36"/>
      <c r="BE23" s="36"/>
      <c r="BF23" s="36"/>
      <c r="BG23" s="36"/>
      <c r="BH23" s="36"/>
      <c r="BI23" s="36"/>
      <c r="BJ23" s="36"/>
      <c r="BK23" s="36"/>
      <c r="BL23" s="36"/>
      <c r="BM23" s="47">
        <v>2.06E-2</v>
      </c>
      <c r="BN23" s="36"/>
      <c r="BO23" s="36"/>
    </row>
    <row r="24" spans="1:67" x14ac:dyDescent="0.25">
      <c r="A24" s="15" t="s">
        <v>159</v>
      </c>
      <c r="B24" s="47">
        <v>5.8999999999999999E-3</v>
      </c>
      <c r="C24" s="47">
        <v>5.8999999999999999E-3</v>
      </c>
      <c r="D24" s="36"/>
      <c r="E24" s="36"/>
      <c r="F24" s="36"/>
      <c r="G24" s="47"/>
      <c r="H24" s="23">
        <v>1.53</v>
      </c>
      <c r="I24" s="23">
        <v>1.53</v>
      </c>
      <c r="J24" s="36"/>
      <c r="K24" s="47">
        <v>2E-3</v>
      </c>
      <c r="L24" s="49">
        <v>2.3E-2</v>
      </c>
      <c r="M24" s="49">
        <v>2.3E-2</v>
      </c>
      <c r="N24" s="47">
        <v>1.9300000000000001E-2</v>
      </c>
      <c r="O24" s="47">
        <v>1.9300000000000001E-2</v>
      </c>
      <c r="P24" s="49"/>
      <c r="Q24" s="49"/>
      <c r="R24" s="36"/>
      <c r="S24" s="36"/>
      <c r="T24" s="36"/>
      <c r="U24" s="47"/>
      <c r="V24" s="47">
        <v>2.2000000000000001E-3</v>
      </c>
      <c r="W24" s="47">
        <v>2.2000000000000001E-3</v>
      </c>
      <c r="X24" s="36"/>
      <c r="Y24" s="36"/>
      <c r="Z24" s="36"/>
      <c r="AA24" s="36"/>
      <c r="AB24" s="36"/>
      <c r="AC24" s="36"/>
      <c r="AD24" s="47"/>
      <c r="AE24" s="47">
        <v>1.4500000000000001E-2</v>
      </c>
      <c r="AF24" s="36"/>
      <c r="AG24" s="36"/>
      <c r="AH24" s="36"/>
      <c r="AI24" s="36"/>
      <c r="AJ24" s="98">
        <v>8.0000000000000002E-3</v>
      </c>
      <c r="AK24" s="98">
        <v>8.0000000000000002E-3</v>
      </c>
      <c r="AL24" s="36"/>
      <c r="AM24" s="36"/>
      <c r="AN24" s="47">
        <v>2.0799999999999999E-2</v>
      </c>
      <c r="AO24" s="47">
        <v>2.0799999999999999E-2</v>
      </c>
      <c r="AP24" s="36"/>
      <c r="AQ24" s="159">
        <v>0</v>
      </c>
      <c r="AR24" s="36">
        <v>0.82</v>
      </c>
      <c r="AS24" s="36">
        <v>0.82</v>
      </c>
      <c r="AT24" s="36"/>
      <c r="AU24" s="36">
        <v>0.22</v>
      </c>
      <c r="AV24" s="36"/>
      <c r="AW24" s="47">
        <v>0</v>
      </c>
      <c r="AX24" s="49">
        <v>1.6899999999999998E-2</v>
      </c>
      <c r="AY24" s="49">
        <v>1.6899999999999998E-2</v>
      </c>
      <c r="AZ24" s="36"/>
      <c r="BA24" s="36"/>
      <c r="BB24" s="47"/>
      <c r="BC24" s="47"/>
      <c r="BD24" s="36"/>
      <c r="BE24" s="36"/>
      <c r="BF24" s="36"/>
      <c r="BG24" s="36"/>
      <c r="BH24" s="36"/>
      <c r="BI24" s="36"/>
      <c r="BJ24" s="36"/>
      <c r="BK24" s="36"/>
      <c r="BL24" s="36"/>
      <c r="BM24" s="47">
        <v>1.3100000000000001E-2</v>
      </c>
      <c r="BN24" s="47"/>
      <c r="BO24" s="47"/>
    </row>
  </sheetData>
  <mergeCells count="33">
    <mergeCell ref="B2:C2"/>
    <mergeCell ref="D2:E2"/>
    <mergeCell ref="F2:G2"/>
    <mergeCell ref="H2:I2"/>
    <mergeCell ref="J2:K2"/>
    <mergeCell ref="AP2:AQ2"/>
    <mergeCell ref="AR2:AS2"/>
    <mergeCell ref="AT2:AU2"/>
    <mergeCell ref="L2:M2"/>
    <mergeCell ref="AB2:AC2"/>
    <mergeCell ref="AD2:AE2"/>
    <mergeCell ref="AF2:AG2"/>
    <mergeCell ref="N2:O2"/>
    <mergeCell ref="P2:Q2"/>
    <mergeCell ref="R2:S2"/>
    <mergeCell ref="T2:U2"/>
    <mergeCell ref="V2:W2"/>
    <mergeCell ref="BL2:BM2"/>
    <mergeCell ref="BN2:BO2"/>
    <mergeCell ref="BF2:BG2"/>
    <mergeCell ref="AH2:AI2"/>
    <mergeCell ref="X2:Y2"/>
    <mergeCell ref="Z2:AA2"/>
    <mergeCell ref="BH2:BI2"/>
    <mergeCell ref="BJ2:BK2"/>
    <mergeCell ref="BD2:BE2"/>
    <mergeCell ref="AV2:AW2"/>
    <mergeCell ref="AX2:AY2"/>
    <mergeCell ref="AJ2:AK2"/>
    <mergeCell ref="AZ2:BA2"/>
    <mergeCell ref="BB2:BC2"/>
    <mergeCell ref="AL2:AM2"/>
    <mergeCell ref="AN2:AO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7" customWidth="1"/>
    <col min="2" max="2" width="16" style="7" customWidth="1"/>
    <col min="3" max="3" width="16" style="52" customWidth="1"/>
    <col min="4" max="15" width="16" style="7" customWidth="1"/>
    <col min="16" max="16" width="16" style="52" customWidth="1"/>
    <col min="17" max="19" width="16" style="7" customWidth="1"/>
    <col min="20" max="20" width="16" style="52" customWidth="1"/>
    <col min="21" max="22" width="16" style="7" customWidth="1"/>
    <col min="23" max="23" width="16" style="52" customWidth="1"/>
    <col min="24" max="34" width="16" style="7" customWidth="1"/>
    <col min="35" max="16384" width="9.140625" style="7"/>
  </cols>
  <sheetData>
    <row r="1" spans="1:34" ht="18.75" x14ac:dyDescent="0.3">
      <c r="A1" s="9" t="s">
        <v>308</v>
      </c>
    </row>
    <row r="2" spans="1:34" x14ac:dyDescent="0.25">
      <c r="A2" s="7" t="s">
        <v>112</v>
      </c>
    </row>
    <row r="3" spans="1:34" x14ac:dyDescent="0.25">
      <c r="A3" s="1" t="s">
        <v>0</v>
      </c>
      <c r="B3" s="89" t="s">
        <v>1</v>
      </c>
      <c r="C3" s="96" t="s">
        <v>2</v>
      </c>
      <c r="D3" s="89" t="s">
        <v>3</v>
      </c>
      <c r="E3" s="89" t="s">
        <v>295</v>
      </c>
      <c r="F3" s="89" t="s">
        <v>5</v>
      </c>
      <c r="G3" s="89" t="s">
        <v>6</v>
      </c>
      <c r="H3" s="89" t="s">
        <v>7</v>
      </c>
      <c r="I3" s="89" t="s">
        <v>309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96" t="s">
        <v>15</v>
      </c>
      <c r="Q3" s="89" t="s">
        <v>16</v>
      </c>
      <c r="R3" s="89" t="s">
        <v>17</v>
      </c>
      <c r="S3" s="89" t="s">
        <v>18</v>
      </c>
      <c r="T3" s="96" t="s">
        <v>293</v>
      </c>
      <c r="U3" s="89" t="s">
        <v>19</v>
      </c>
      <c r="V3" s="89" t="s">
        <v>20</v>
      </c>
      <c r="W3" s="96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</row>
    <row r="4" spans="1:34" ht="15" customHeight="1" x14ac:dyDescent="0.25">
      <c r="A4" s="2" t="s">
        <v>113</v>
      </c>
      <c r="B4" s="10">
        <v>24213</v>
      </c>
      <c r="C4" s="23">
        <v>78089.850000000006</v>
      </c>
      <c r="D4" s="10">
        <v>1332637</v>
      </c>
      <c r="E4" s="10">
        <v>143697</v>
      </c>
      <c r="F4" s="10">
        <v>1638846</v>
      </c>
      <c r="G4" s="10">
        <v>496038</v>
      </c>
      <c r="H4" s="10">
        <v>880925</v>
      </c>
      <c r="I4" s="10">
        <v>23830</v>
      </c>
      <c r="J4" s="135">
        <v>22283</v>
      </c>
      <c r="K4" s="135">
        <v>772607</v>
      </c>
      <c r="L4" s="10">
        <v>429677</v>
      </c>
      <c r="M4" s="10">
        <v>319507</v>
      </c>
      <c r="N4" s="10">
        <v>1163366</v>
      </c>
      <c r="O4" s="10">
        <v>2995120</v>
      </c>
      <c r="P4" s="23">
        <v>780886.12</v>
      </c>
      <c r="Q4" s="10">
        <v>52325</v>
      </c>
      <c r="R4" s="10">
        <v>221709</v>
      </c>
      <c r="S4" s="10">
        <v>199939</v>
      </c>
      <c r="T4" s="23">
        <v>38678.65</v>
      </c>
      <c r="U4" s="10">
        <v>66433</v>
      </c>
      <c r="V4" s="10">
        <v>3213235</v>
      </c>
      <c r="W4" s="141">
        <v>4175757.82</v>
      </c>
      <c r="X4" s="139">
        <v>3411549</v>
      </c>
      <c r="Y4" s="10">
        <v>35834</v>
      </c>
      <c r="Z4" s="7">
        <v>1023369</v>
      </c>
      <c r="AA4" s="10">
        <v>125262</v>
      </c>
      <c r="AB4" s="10">
        <v>541417</v>
      </c>
      <c r="AC4" s="10">
        <v>693993</v>
      </c>
      <c r="AD4" s="10">
        <v>844142</v>
      </c>
      <c r="AE4" s="10">
        <v>365438.33</v>
      </c>
      <c r="AF4" s="10">
        <v>1073128</v>
      </c>
      <c r="AG4" s="23">
        <v>3382117.38</v>
      </c>
      <c r="AH4" s="10">
        <v>271840</v>
      </c>
    </row>
    <row r="5" spans="1:34" ht="15" customHeight="1" x14ac:dyDescent="0.25">
      <c r="A5" s="2" t="s">
        <v>114</v>
      </c>
      <c r="B5" s="10">
        <v>14148</v>
      </c>
      <c r="C5" s="10">
        <v>42402</v>
      </c>
      <c r="D5" s="10">
        <v>305487</v>
      </c>
      <c r="E5" s="10"/>
      <c r="F5" s="10">
        <v>1254296</v>
      </c>
      <c r="G5" s="10"/>
      <c r="H5" s="10">
        <v>534802</v>
      </c>
      <c r="I5" s="10">
        <v>17094</v>
      </c>
      <c r="J5" s="135">
        <v>17041</v>
      </c>
      <c r="K5" s="135">
        <v>728060</v>
      </c>
      <c r="L5" s="10"/>
      <c r="M5" s="10"/>
      <c r="N5" s="10"/>
      <c r="O5" s="10"/>
      <c r="P5" s="23"/>
      <c r="Q5" s="10"/>
      <c r="R5" s="10">
        <v>165260</v>
      </c>
      <c r="S5" s="10"/>
      <c r="T5" s="23"/>
      <c r="U5" s="10">
        <v>47849</v>
      </c>
      <c r="V5" s="10"/>
      <c r="W5" s="141">
        <v>3765568.48</v>
      </c>
      <c r="X5" s="139">
        <v>1405046</v>
      </c>
      <c r="Y5" s="10"/>
      <c r="Z5" s="10">
        <v>779025</v>
      </c>
      <c r="AA5" s="10">
        <v>97493</v>
      </c>
      <c r="AC5" s="10"/>
      <c r="AD5" s="36">
        <v>753512</v>
      </c>
      <c r="AE5" s="10"/>
      <c r="AF5" s="10">
        <v>793018</v>
      </c>
      <c r="AG5" s="23">
        <v>2128947.5099999998</v>
      </c>
      <c r="AH5" s="10">
        <v>199522</v>
      </c>
    </row>
    <row r="6" spans="1:34" ht="15" customHeight="1" x14ac:dyDescent="0.25">
      <c r="A6" s="2" t="s">
        <v>116</v>
      </c>
      <c r="B6" s="10"/>
      <c r="C6" s="23"/>
      <c r="D6" s="10"/>
      <c r="E6" s="10">
        <v>28733</v>
      </c>
      <c r="F6" s="10"/>
      <c r="G6" s="10">
        <v>334532</v>
      </c>
      <c r="H6" s="10"/>
      <c r="I6" s="10"/>
      <c r="J6" s="135">
        <v>5126</v>
      </c>
      <c r="K6" s="135"/>
      <c r="L6" s="10">
        <v>74559</v>
      </c>
      <c r="M6" s="10">
        <v>179943</v>
      </c>
      <c r="N6" s="10">
        <v>755852</v>
      </c>
      <c r="O6" s="10">
        <v>2384553</v>
      </c>
      <c r="P6" s="23">
        <v>531834.26</v>
      </c>
      <c r="Q6" s="10">
        <v>48909</v>
      </c>
      <c r="R6" s="10"/>
      <c r="S6" s="10">
        <v>156987</v>
      </c>
      <c r="T6" s="23">
        <v>34097.71</v>
      </c>
      <c r="U6" s="10"/>
      <c r="V6" s="10">
        <v>2695289</v>
      </c>
      <c r="W6" s="141"/>
      <c r="X6" s="139"/>
      <c r="Y6" s="10">
        <v>23890</v>
      </c>
      <c r="Z6" s="10"/>
      <c r="AA6" s="10"/>
      <c r="AB6" s="10">
        <v>457941</v>
      </c>
      <c r="AC6" s="10">
        <v>689880</v>
      </c>
      <c r="AD6" s="10"/>
      <c r="AE6" s="10">
        <v>40713.01</v>
      </c>
      <c r="AG6" s="23"/>
      <c r="AH6" s="10"/>
    </row>
    <row r="7" spans="1:34" ht="15" customHeight="1" x14ac:dyDescent="0.25">
      <c r="A7" s="2" t="s">
        <v>117</v>
      </c>
      <c r="B7" s="10"/>
      <c r="C7" s="23"/>
      <c r="D7" s="10">
        <v>105160</v>
      </c>
      <c r="E7" s="10">
        <v>91079</v>
      </c>
      <c r="F7" s="10"/>
      <c r="G7" s="10"/>
      <c r="H7" s="10"/>
      <c r="I7" s="10"/>
      <c r="J7" s="135"/>
      <c r="K7" s="135"/>
      <c r="L7" s="10">
        <v>331837</v>
      </c>
      <c r="M7" s="10">
        <v>686</v>
      </c>
      <c r="N7" s="10"/>
      <c r="O7" s="10">
        <v>2609</v>
      </c>
      <c r="P7" s="23">
        <v>214944.06</v>
      </c>
      <c r="Q7" s="10"/>
      <c r="R7" s="10"/>
      <c r="S7" s="10">
        <v>42953</v>
      </c>
      <c r="T7" s="23">
        <v>3523.53</v>
      </c>
      <c r="U7" s="10"/>
      <c r="V7" s="10">
        <v>509634</v>
      </c>
      <c r="W7" s="141"/>
      <c r="X7" s="139"/>
      <c r="Y7" s="10">
        <v>9407</v>
      </c>
      <c r="Z7" s="10"/>
      <c r="AA7" s="10"/>
      <c r="AB7" s="10"/>
      <c r="AC7" s="10"/>
      <c r="AD7" s="10"/>
      <c r="AE7" s="10">
        <v>312419.69</v>
      </c>
      <c r="AF7" s="10"/>
      <c r="AG7" s="23"/>
      <c r="AH7" s="10">
        <v>272</v>
      </c>
    </row>
    <row r="8" spans="1:34" ht="30" customHeight="1" x14ac:dyDescent="0.25">
      <c r="A8" s="2" t="s">
        <v>115</v>
      </c>
      <c r="B8" s="10">
        <v>10065</v>
      </c>
      <c r="C8" s="23">
        <v>34190.120000000003</v>
      </c>
      <c r="D8" s="10">
        <v>977803</v>
      </c>
      <c r="E8" s="10">
        <v>12884</v>
      </c>
      <c r="F8" s="10">
        <v>292759</v>
      </c>
      <c r="G8" s="10">
        <v>146370</v>
      </c>
      <c r="H8" s="10">
        <v>329300</v>
      </c>
      <c r="I8" s="10">
        <v>4457</v>
      </c>
      <c r="J8" s="135"/>
      <c r="K8" s="135">
        <v>42805</v>
      </c>
      <c r="L8" s="10"/>
      <c r="M8" s="10">
        <v>97348</v>
      </c>
      <c r="N8" s="10">
        <v>407513</v>
      </c>
      <c r="O8" s="10">
        <v>652251</v>
      </c>
      <c r="P8" s="23">
        <v>34107.800000000003</v>
      </c>
      <c r="Q8" s="10">
        <v>-383</v>
      </c>
      <c r="R8" s="10">
        <v>56169</v>
      </c>
      <c r="S8" s="10"/>
      <c r="T8" s="23"/>
      <c r="U8" s="10">
        <v>10467</v>
      </c>
      <c r="V8" s="10"/>
      <c r="W8" s="141">
        <v>572108.12</v>
      </c>
      <c r="X8" s="139">
        <v>780928</v>
      </c>
      <c r="Y8" s="10"/>
      <c r="Z8" s="10">
        <v>244344</v>
      </c>
      <c r="AA8" s="10">
        <v>15290</v>
      </c>
      <c r="AB8" s="10">
        <v>102210</v>
      </c>
      <c r="AC8" s="10"/>
      <c r="AD8" s="36">
        <v>43468</v>
      </c>
      <c r="AE8" s="10"/>
      <c r="AF8" s="10">
        <v>248740</v>
      </c>
      <c r="AG8" s="23">
        <v>1253169.58</v>
      </c>
      <c r="AH8" s="10">
        <v>62930</v>
      </c>
    </row>
    <row r="9" spans="1:34" s="44" customFormat="1" ht="15" customHeight="1" x14ac:dyDescent="0.25">
      <c r="A9" s="19" t="s">
        <v>118</v>
      </c>
      <c r="B9" s="43"/>
      <c r="C9" s="25">
        <v>1497.73</v>
      </c>
      <c r="D9" s="43">
        <v>-55813</v>
      </c>
      <c r="E9" s="43">
        <v>11001</v>
      </c>
      <c r="F9" s="43">
        <v>91791</v>
      </c>
      <c r="G9" s="43">
        <v>15136</v>
      </c>
      <c r="H9" s="43">
        <v>16824</v>
      </c>
      <c r="I9" s="43">
        <v>2279</v>
      </c>
      <c r="J9" s="138">
        <v>116</v>
      </c>
      <c r="K9" s="138">
        <v>1742</v>
      </c>
      <c r="L9" s="43">
        <v>23281</v>
      </c>
      <c r="M9" s="43">
        <v>41530</v>
      </c>
      <c r="N9" s="43"/>
      <c r="O9" s="43">
        <v>-44293</v>
      </c>
      <c r="P9" s="25"/>
      <c r="Q9" s="43">
        <v>3799</v>
      </c>
      <c r="R9" s="43">
        <v>280</v>
      </c>
      <c r="S9" s="43"/>
      <c r="T9" s="25">
        <v>1057.4000000000001</v>
      </c>
      <c r="U9" s="43">
        <v>8117</v>
      </c>
      <c r="V9" s="43">
        <v>8312</v>
      </c>
      <c r="W9" s="142">
        <v>-161918.78</v>
      </c>
      <c r="X9" s="144">
        <v>1225575</v>
      </c>
      <c r="Y9" s="43">
        <v>2538</v>
      </c>
      <c r="Z9" s="43"/>
      <c r="AA9" s="43">
        <v>12480</v>
      </c>
      <c r="AB9" s="43">
        <v>-18735</v>
      </c>
      <c r="AC9" s="43">
        <v>4113</v>
      </c>
      <c r="AD9" s="36">
        <v>47162</v>
      </c>
      <c r="AE9" s="43">
        <v>12305.63</v>
      </c>
      <c r="AF9" s="43">
        <v>31370</v>
      </c>
      <c r="AG9" s="25">
        <v>0.28999999999999998</v>
      </c>
      <c r="AH9" s="43">
        <v>9116</v>
      </c>
    </row>
    <row r="10" spans="1:34" ht="15" customHeight="1" x14ac:dyDescent="0.25">
      <c r="A10" s="2" t="s">
        <v>119</v>
      </c>
      <c r="B10" s="10">
        <v>29167</v>
      </c>
      <c r="C10" s="23">
        <v>23667.58</v>
      </c>
      <c r="D10" s="10">
        <v>397054</v>
      </c>
      <c r="E10" s="10">
        <v>88195</v>
      </c>
      <c r="F10" s="10">
        <v>511765</v>
      </c>
      <c r="G10" s="10">
        <v>74327</v>
      </c>
      <c r="H10" s="10">
        <v>148867</v>
      </c>
      <c r="I10" s="10">
        <v>14466</v>
      </c>
      <c r="J10" s="135">
        <v>13742</v>
      </c>
      <c r="K10" s="135">
        <v>514513</v>
      </c>
      <c r="L10" s="10">
        <v>100263</v>
      </c>
      <c r="M10" s="10">
        <v>68755</v>
      </c>
      <c r="N10" s="10">
        <v>300615</v>
      </c>
      <c r="O10" s="10">
        <v>620496</v>
      </c>
      <c r="P10" s="23">
        <v>448316.94</v>
      </c>
      <c r="Q10" s="10">
        <v>21137</v>
      </c>
      <c r="R10" s="10">
        <v>74196</v>
      </c>
      <c r="S10" s="10">
        <v>47222</v>
      </c>
      <c r="T10" s="23">
        <v>29293.14</v>
      </c>
      <c r="U10" s="10">
        <v>56357</v>
      </c>
      <c r="V10" s="10"/>
      <c r="W10" s="141">
        <v>1942653.62</v>
      </c>
      <c r="X10" s="139">
        <v>35854</v>
      </c>
      <c r="Y10" s="10">
        <v>13811</v>
      </c>
      <c r="Z10" s="10">
        <v>240054</v>
      </c>
      <c r="AA10" s="10">
        <v>71915</v>
      </c>
      <c r="AB10" s="10">
        <v>130550</v>
      </c>
      <c r="AC10" s="10">
        <v>229760</v>
      </c>
      <c r="AD10" s="36">
        <v>147450</v>
      </c>
      <c r="AE10" s="10">
        <v>219873.13</v>
      </c>
      <c r="AF10" s="10">
        <v>264930</v>
      </c>
      <c r="AG10" s="23">
        <v>175244.52</v>
      </c>
      <c r="AH10" s="10">
        <v>97226</v>
      </c>
    </row>
    <row r="11" spans="1:34" ht="30" customHeight="1" x14ac:dyDescent="0.25">
      <c r="A11" s="2" t="s">
        <v>120</v>
      </c>
      <c r="B11" s="10">
        <v>7987</v>
      </c>
      <c r="C11" s="23"/>
      <c r="D11" s="10">
        <v>643</v>
      </c>
      <c r="E11" s="10">
        <v>25761</v>
      </c>
      <c r="F11" s="10">
        <v>75305</v>
      </c>
      <c r="G11" s="10">
        <v>4211</v>
      </c>
      <c r="H11" s="10">
        <v>22456</v>
      </c>
      <c r="I11" s="10"/>
      <c r="J11" s="135">
        <v>2063</v>
      </c>
      <c r="K11" s="135">
        <v>29746</v>
      </c>
      <c r="L11" s="10">
        <v>43969</v>
      </c>
      <c r="M11" s="10"/>
      <c r="N11" s="10">
        <v>42421</v>
      </c>
      <c r="O11" s="10">
        <v>18731</v>
      </c>
      <c r="P11" s="23">
        <v>219718.27</v>
      </c>
      <c r="Q11" s="10">
        <v>8841</v>
      </c>
      <c r="R11" s="10">
        <v>11014</v>
      </c>
      <c r="S11" s="10">
        <v>12318</v>
      </c>
      <c r="T11" s="23">
        <v>9605.5400000000009</v>
      </c>
      <c r="U11" s="10">
        <v>30653</v>
      </c>
      <c r="V11" s="10"/>
      <c r="W11" s="141">
        <v>351133.33</v>
      </c>
      <c r="X11" s="139">
        <v>929935</v>
      </c>
      <c r="Y11" s="10">
        <v>4058</v>
      </c>
      <c r="Z11" s="10">
        <v>51677</v>
      </c>
      <c r="AA11" s="10">
        <v>28504</v>
      </c>
      <c r="AB11" s="10"/>
      <c r="AC11" s="10">
        <v>25971</v>
      </c>
      <c r="AD11" s="36">
        <v>19181</v>
      </c>
      <c r="AE11" s="10">
        <v>34744.1</v>
      </c>
      <c r="AF11" s="7">
        <v>49695</v>
      </c>
      <c r="AG11" s="23">
        <v>38875.07</v>
      </c>
      <c r="AH11" s="10">
        <v>9837</v>
      </c>
    </row>
    <row r="12" spans="1:34" s="44" customFormat="1" x14ac:dyDescent="0.25">
      <c r="A12" s="19" t="s">
        <v>121</v>
      </c>
      <c r="B12" s="43">
        <v>21180</v>
      </c>
      <c r="C12" s="25">
        <v>23667.58</v>
      </c>
      <c r="D12" s="43">
        <v>396412</v>
      </c>
      <c r="E12" s="43">
        <v>62434</v>
      </c>
      <c r="F12" s="43">
        <v>436459</v>
      </c>
      <c r="G12" s="43">
        <v>70116</v>
      </c>
      <c r="H12" s="43">
        <v>126411</v>
      </c>
      <c r="I12" s="43">
        <v>14466</v>
      </c>
      <c r="J12" s="138">
        <v>11679</v>
      </c>
      <c r="K12" s="138">
        <v>484767</v>
      </c>
      <c r="L12" s="43">
        <v>56294</v>
      </c>
      <c r="M12" s="43">
        <v>68755</v>
      </c>
      <c r="N12" s="43">
        <v>258194</v>
      </c>
      <c r="O12" s="43">
        <v>601765</v>
      </c>
      <c r="P12" s="25">
        <v>228598.67</v>
      </c>
      <c r="Q12" s="43">
        <v>12296</v>
      </c>
      <c r="R12" s="43">
        <v>63182</v>
      </c>
      <c r="S12" s="43">
        <v>34904</v>
      </c>
      <c r="T12" s="25">
        <v>19687.599999999999</v>
      </c>
      <c r="U12" s="43">
        <v>25704</v>
      </c>
      <c r="V12" s="43"/>
      <c r="W12" s="142">
        <v>1591520.29</v>
      </c>
      <c r="X12" s="144">
        <v>-894081</v>
      </c>
      <c r="Y12" s="43">
        <v>9752</v>
      </c>
      <c r="Z12" s="43">
        <v>188377</v>
      </c>
      <c r="AA12" s="43">
        <v>43411</v>
      </c>
      <c r="AB12" s="43">
        <v>130550</v>
      </c>
      <c r="AC12" s="43">
        <v>203790</v>
      </c>
      <c r="AD12" s="101">
        <v>128270</v>
      </c>
      <c r="AE12" s="43">
        <v>185129.03</v>
      </c>
      <c r="AF12" s="43">
        <v>215235</v>
      </c>
      <c r="AG12" s="25">
        <v>136369.45000000001</v>
      </c>
      <c r="AH12" s="43">
        <v>87389</v>
      </c>
    </row>
    <row r="13" spans="1:34" s="8" customFormat="1" ht="15" customHeight="1" x14ac:dyDescent="0.25">
      <c r="A13" s="3" t="s">
        <v>122</v>
      </c>
      <c r="B13" s="11">
        <v>21180</v>
      </c>
      <c r="C13" s="41">
        <v>25165.31</v>
      </c>
      <c r="D13" s="11">
        <v>340598</v>
      </c>
      <c r="E13" s="11">
        <v>73435</v>
      </c>
      <c r="F13" s="11">
        <v>528250</v>
      </c>
      <c r="G13" s="11">
        <v>85252</v>
      </c>
      <c r="H13" s="11">
        <v>143235</v>
      </c>
      <c r="I13" s="11">
        <v>16745</v>
      </c>
      <c r="J13" s="136">
        <v>11795</v>
      </c>
      <c r="K13" s="136">
        <v>486509</v>
      </c>
      <c r="L13" s="11">
        <v>79575</v>
      </c>
      <c r="M13" s="11">
        <v>110285</v>
      </c>
      <c r="N13" s="11">
        <v>258194</v>
      </c>
      <c r="O13" s="11">
        <v>557472</v>
      </c>
      <c r="P13" s="41">
        <v>228598.67</v>
      </c>
      <c r="Q13" s="11">
        <v>16095</v>
      </c>
      <c r="R13" s="11">
        <v>63461</v>
      </c>
      <c r="S13" s="11">
        <v>34904</v>
      </c>
      <c r="T13" s="41">
        <v>20745.009999999998</v>
      </c>
      <c r="U13" s="11">
        <v>33821</v>
      </c>
      <c r="V13" s="11">
        <v>8312</v>
      </c>
      <c r="W13" s="143">
        <v>1429601.51</v>
      </c>
      <c r="X13" s="140">
        <v>331494</v>
      </c>
      <c r="Y13" s="11">
        <v>12290</v>
      </c>
      <c r="Z13" s="11">
        <v>188377</v>
      </c>
      <c r="AA13" s="11">
        <v>55891</v>
      </c>
      <c r="AB13" s="11">
        <v>111815</v>
      </c>
      <c r="AC13" s="11">
        <v>207903</v>
      </c>
      <c r="AD13" s="11">
        <v>175431</v>
      </c>
      <c r="AE13" s="11">
        <v>197434.66</v>
      </c>
      <c r="AF13" s="11">
        <v>246605</v>
      </c>
      <c r="AG13" s="41">
        <v>136369.74</v>
      </c>
      <c r="AH13" s="11">
        <v>96505</v>
      </c>
    </row>
    <row r="14" spans="1:34" s="8" customFormat="1" ht="14.25" customHeight="1" x14ac:dyDescent="0.25">
      <c r="A14" s="3" t="s">
        <v>123</v>
      </c>
      <c r="B14" s="11">
        <v>5000</v>
      </c>
      <c r="C14" s="41">
        <v>13891.9</v>
      </c>
      <c r="D14" s="11">
        <v>120223</v>
      </c>
      <c r="E14" s="11">
        <v>42187</v>
      </c>
      <c r="F14" s="11">
        <v>207824</v>
      </c>
      <c r="G14" s="11">
        <v>52352</v>
      </c>
      <c r="H14" s="11">
        <v>90573</v>
      </c>
      <c r="I14" s="11">
        <v>5000</v>
      </c>
      <c r="J14" s="136">
        <v>5000</v>
      </c>
      <c r="K14" s="136">
        <v>32384</v>
      </c>
      <c r="L14" s="11">
        <v>52725</v>
      </c>
      <c r="M14" s="11">
        <v>34058</v>
      </c>
      <c r="N14" s="11">
        <v>136471</v>
      </c>
      <c r="O14" s="11">
        <v>257211</v>
      </c>
      <c r="P14" s="41">
        <v>144804.04</v>
      </c>
      <c r="Q14" s="11">
        <v>7551</v>
      </c>
      <c r="R14" s="11">
        <v>29061</v>
      </c>
      <c r="S14" s="11">
        <v>20454</v>
      </c>
      <c r="T14" s="41">
        <v>10937.55</v>
      </c>
      <c r="U14" s="11">
        <v>19074</v>
      </c>
      <c r="V14" s="11">
        <v>391794</v>
      </c>
      <c r="W14" s="143">
        <v>676963.63</v>
      </c>
      <c r="X14" s="140">
        <v>361697</v>
      </c>
      <c r="Y14" s="11">
        <v>5000</v>
      </c>
      <c r="Z14" s="11">
        <v>123964</v>
      </c>
      <c r="AA14" s="11">
        <v>36135</v>
      </c>
      <c r="AB14" s="11">
        <v>66318</v>
      </c>
      <c r="AC14" s="11">
        <v>91560</v>
      </c>
      <c r="AD14" s="11">
        <v>47757</v>
      </c>
      <c r="AE14" s="11">
        <v>104789.49</v>
      </c>
      <c r="AF14" s="11">
        <v>133839</v>
      </c>
      <c r="AG14" s="41">
        <v>458272.92</v>
      </c>
      <c r="AH14" s="11">
        <v>42410</v>
      </c>
    </row>
    <row r="15" spans="1:34" s="42" customFormat="1" ht="14.25" customHeight="1" x14ac:dyDescent="0.25">
      <c r="A15" s="20" t="s">
        <v>124</v>
      </c>
      <c r="B15" s="41">
        <v>4.24</v>
      </c>
      <c r="C15" s="41">
        <v>1.81</v>
      </c>
      <c r="D15" s="41">
        <v>2.83</v>
      </c>
      <c r="E15" s="41">
        <v>1.74</v>
      </c>
      <c r="F15" s="85">
        <v>2.54</v>
      </c>
      <c r="G15" s="41">
        <v>1.63</v>
      </c>
      <c r="H15" s="41">
        <v>1.581</v>
      </c>
      <c r="I15" s="41">
        <v>3.35</v>
      </c>
      <c r="J15" s="137">
        <v>2.36</v>
      </c>
      <c r="K15" s="137">
        <v>15.02</v>
      </c>
      <c r="L15" s="41">
        <v>1.51</v>
      </c>
      <c r="M15" s="41">
        <v>3.24</v>
      </c>
      <c r="N15" s="41">
        <v>1.89</v>
      </c>
      <c r="O15" s="41">
        <v>2.17</v>
      </c>
      <c r="P15" s="41">
        <v>1.58</v>
      </c>
      <c r="Q15" s="41">
        <v>2.13</v>
      </c>
      <c r="R15" s="41">
        <v>2.1800000000000002</v>
      </c>
      <c r="S15" s="41">
        <v>1.71</v>
      </c>
      <c r="T15" s="102">
        <v>1.8967000000000001</v>
      </c>
      <c r="U15" s="41">
        <v>1.77</v>
      </c>
      <c r="V15" s="41">
        <v>0.02</v>
      </c>
      <c r="W15" s="143">
        <v>2.11</v>
      </c>
      <c r="X15" s="143">
        <v>0.92</v>
      </c>
      <c r="Y15" s="41">
        <v>2.46</v>
      </c>
      <c r="Z15" s="41">
        <v>1.52</v>
      </c>
      <c r="AA15" s="41">
        <v>1.55</v>
      </c>
      <c r="AB15" s="41">
        <v>1.69</v>
      </c>
      <c r="AC15" s="41">
        <v>2.27</v>
      </c>
      <c r="AD15" s="41">
        <v>3.67</v>
      </c>
      <c r="AE15" s="41">
        <v>1.88</v>
      </c>
      <c r="AF15" s="41">
        <v>1.84</v>
      </c>
      <c r="AG15" s="41">
        <v>0.3</v>
      </c>
      <c r="AH15" s="41">
        <v>2.2799999999999998</v>
      </c>
    </row>
  </sheetData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133" width="16" style="7" customWidth="1"/>
    <col min="134" max="16384" width="9.140625" style="7"/>
  </cols>
  <sheetData>
    <row r="1" spans="1:133" ht="18.75" x14ac:dyDescent="0.3">
      <c r="A1" s="17" t="s">
        <v>125</v>
      </c>
    </row>
    <row r="2" spans="1:133" x14ac:dyDescent="0.25">
      <c r="A2" s="7" t="s">
        <v>126</v>
      </c>
    </row>
    <row r="3" spans="1:133" x14ac:dyDescent="0.25">
      <c r="A3" s="1" t="s">
        <v>0</v>
      </c>
      <c r="B3" s="111" t="s">
        <v>1</v>
      </c>
      <c r="C3" s="126"/>
      <c r="D3" s="126"/>
      <c r="E3" s="112"/>
      <c r="F3" s="111" t="s">
        <v>2</v>
      </c>
      <c r="G3" s="126"/>
      <c r="H3" s="126"/>
      <c r="I3" s="112"/>
      <c r="J3" s="111" t="s">
        <v>3</v>
      </c>
      <c r="K3" s="126"/>
      <c r="L3" s="126"/>
      <c r="M3" s="112"/>
      <c r="N3" s="111" t="s">
        <v>295</v>
      </c>
      <c r="O3" s="126"/>
      <c r="P3" s="126"/>
      <c r="Q3" s="112"/>
      <c r="R3" s="111" t="s">
        <v>5</v>
      </c>
      <c r="S3" s="126"/>
      <c r="T3" s="126"/>
      <c r="U3" s="112"/>
      <c r="V3" s="111" t="s">
        <v>6</v>
      </c>
      <c r="W3" s="126"/>
      <c r="X3" s="126"/>
      <c r="Y3" s="112"/>
      <c r="Z3" s="111" t="s">
        <v>7</v>
      </c>
      <c r="AA3" s="126"/>
      <c r="AB3" s="126"/>
      <c r="AC3" s="112"/>
      <c r="AD3" s="111" t="s">
        <v>309</v>
      </c>
      <c r="AE3" s="126"/>
      <c r="AF3" s="126"/>
      <c r="AG3" s="112"/>
      <c r="AH3" s="111" t="s">
        <v>9</v>
      </c>
      <c r="AI3" s="126"/>
      <c r="AJ3" s="126"/>
      <c r="AK3" s="112"/>
      <c r="AL3" s="111" t="s">
        <v>10</v>
      </c>
      <c r="AM3" s="126"/>
      <c r="AN3" s="126"/>
      <c r="AO3" s="112"/>
      <c r="AP3" s="111" t="s">
        <v>11</v>
      </c>
      <c r="AQ3" s="126"/>
      <c r="AR3" s="126"/>
      <c r="AS3" s="112"/>
      <c r="AT3" s="111" t="s">
        <v>12</v>
      </c>
      <c r="AU3" s="126"/>
      <c r="AV3" s="126"/>
      <c r="AW3" s="112"/>
      <c r="AX3" s="111" t="s">
        <v>13</v>
      </c>
      <c r="AY3" s="126"/>
      <c r="AZ3" s="126"/>
      <c r="BA3" s="112"/>
      <c r="BB3" s="111" t="s">
        <v>14</v>
      </c>
      <c r="BC3" s="126"/>
      <c r="BD3" s="126"/>
      <c r="BE3" s="112"/>
      <c r="BF3" s="111" t="s">
        <v>15</v>
      </c>
      <c r="BG3" s="126"/>
      <c r="BH3" s="126"/>
      <c r="BI3" s="112"/>
      <c r="BJ3" s="111" t="s">
        <v>16</v>
      </c>
      <c r="BK3" s="126"/>
      <c r="BL3" s="126"/>
      <c r="BM3" s="112"/>
      <c r="BN3" s="111" t="s">
        <v>17</v>
      </c>
      <c r="BO3" s="126"/>
      <c r="BP3" s="126"/>
      <c r="BQ3" s="112"/>
      <c r="BR3" s="111" t="s">
        <v>18</v>
      </c>
      <c r="BS3" s="126"/>
      <c r="BT3" s="126"/>
      <c r="BU3" s="112"/>
      <c r="BV3" s="111" t="s">
        <v>293</v>
      </c>
      <c r="BW3" s="126"/>
      <c r="BX3" s="126"/>
      <c r="BY3" s="112"/>
      <c r="BZ3" s="111" t="s">
        <v>19</v>
      </c>
      <c r="CA3" s="126"/>
      <c r="CB3" s="126"/>
      <c r="CC3" s="112"/>
      <c r="CD3" s="111" t="s">
        <v>20</v>
      </c>
      <c r="CE3" s="126"/>
      <c r="CF3" s="126"/>
      <c r="CG3" s="112"/>
      <c r="CH3" s="111" t="s">
        <v>21</v>
      </c>
      <c r="CI3" s="126"/>
      <c r="CJ3" s="126"/>
      <c r="CK3" s="112"/>
      <c r="CL3" s="111" t="s">
        <v>22</v>
      </c>
      <c r="CM3" s="126"/>
      <c r="CN3" s="126"/>
      <c r="CO3" s="112"/>
      <c r="CP3" s="111" t="s">
        <v>23</v>
      </c>
      <c r="CQ3" s="126"/>
      <c r="CR3" s="126"/>
      <c r="CS3" s="112"/>
      <c r="CT3" s="111" t="s">
        <v>24</v>
      </c>
      <c r="CU3" s="126"/>
      <c r="CV3" s="126"/>
      <c r="CW3" s="112"/>
      <c r="CX3" s="111" t="s">
        <v>25</v>
      </c>
      <c r="CY3" s="126"/>
      <c r="CZ3" s="126"/>
      <c r="DA3" s="112"/>
      <c r="DB3" s="111" t="s">
        <v>26</v>
      </c>
      <c r="DC3" s="126"/>
      <c r="DD3" s="126"/>
      <c r="DE3" s="112"/>
      <c r="DF3" s="111" t="s">
        <v>27</v>
      </c>
      <c r="DG3" s="126"/>
      <c r="DH3" s="126"/>
      <c r="DI3" s="112"/>
      <c r="DJ3" s="111" t="s">
        <v>28</v>
      </c>
      <c r="DK3" s="126"/>
      <c r="DL3" s="126"/>
      <c r="DM3" s="112"/>
      <c r="DN3" s="111" t="s">
        <v>29</v>
      </c>
      <c r="DO3" s="126"/>
      <c r="DP3" s="126"/>
      <c r="DQ3" s="112"/>
      <c r="DR3" s="131" t="s">
        <v>30</v>
      </c>
      <c r="DS3" s="132"/>
      <c r="DT3" s="132"/>
      <c r="DU3" s="133"/>
      <c r="DV3" s="115" t="s">
        <v>31</v>
      </c>
      <c r="DW3" s="134"/>
      <c r="DX3" s="134"/>
      <c r="DY3" s="116"/>
      <c r="DZ3" s="111" t="s">
        <v>32</v>
      </c>
      <c r="EA3" s="126"/>
      <c r="EB3" s="126"/>
      <c r="EC3" s="112"/>
    </row>
    <row r="4" spans="1:133" ht="15" customHeight="1" x14ac:dyDescent="0.25">
      <c r="A4" s="1"/>
      <c r="B4" s="127" t="s">
        <v>298</v>
      </c>
      <c r="C4" s="128"/>
      <c r="D4" s="129" t="s">
        <v>299</v>
      </c>
      <c r="E4" s="130"/>
      <c r="F4" s="127" t="s">
        <v>298</v>
      </c>
      <c r="G4" s="128"/>
      <c r="H4" s="129" t="s">
        <v>299</v>
      </c>
      <c r="I4" s="130"/>
      <c r="J4" s="127" t="s">
        <v>298</v>
      </c>
      <c r="K4" s="128"/>
      <c r="L4" s="129" t="s">
        <v>299</v>
      </c>
      <c r="M4" s="130"/>
      <c r="N4" s="127" t="s">
        <v>298</v>
      </c>
      <c r="O4" s="128"/>
      <c r="P4" s="129" t="s">
        <v>299</v>
      </c>
      <c r="Q4" s="130"/>
      <c r="R4" s="127" t="s">
        <v>298</v>
      </c>
      <c r="S4" s="128"/>
      <c r="T4" s="129" t="s">
        <v>299</v>
      </c>
      <c r="U4" s="130"/>
      <c r="V4" s="127" t="s">
        <v>298</v>
      </c>
      <c r="W4" s="128"/>
      <c r="X4" s="129" t="s">
        <v>299</v>
      </c>
      <c r="Y4" s="130"/>
      <c r="Z4" s="127" t="s">
        <v>298</v>
      </c>
      <c r="AA4" s="128"/>
      <c r="AB4" s="129" t="s">
        <v>299</v>
      </c>
      <c r="AC4" s="130"/>
      <c r="AD4" s="127" t="s">
        <v>298</v>
      </c>
      <c r="AE4" s="128"/>
      <c r="AF4" s="129" t="s">
        <v>299</v>
      </c>
      <c r="AG4" s="130"/>
      <c r="AH4" s="127" t="s">
        <v>298</v>
      </c>
      <c r="AI4" s="128"/>
      <c r="AJ4" s="129" t="s">
        <v>299</v>
      </c>
      <c r="AK4" s="130"/>
      <c r="AL4" s="127" t="s">
        <v>298</v>
      </c>
      <c r="AM4" s="128"/>
      <c r="AN4" s="129" t="s">
        <v>299</v>
      </c>
      <c r="AO4" s="130"/>
      <c r="AP4" s="127" t="s">
        <v>298</v>
      </c>
      <c r="AQ4" s="128"/>
      <c r="AR4" s="129" t="s">
        <v>299</v>
      </c>
      <c r="AS4" s="130"/>
      <c r="AT4" s="127" t="s">
        <v>298</v>
      </c>
      <c r="AU4" s="128"/>
      <c r="AV4" s="129" t="s">
        <v>299</v>
      </c>
      <c r="AW4" s="130"/>
      <c r="AX4" s="127" t="s">
        <v>298</v>
      </c>
      <c r="AY4" s="128"/>
      <c r="AZ4" s="129" t="s">
        <v>299</v>
      </c>
      <c r="BA4" s="130"/>
      <c r="BB4" s="127" t="s">
        <v>298</v>
      </c>
      <c r="BC4" s="128"/>
      <c r="BD4" s="129" t="s">
        <v>299</v>
      </c>
      <c r="BE4" s="130"/>
      <c r="BF4" s="127" t="s">
        <v>298</v>
      </c>
      <c r="BG4" s="128"/>
      <c r="BH4" s="129" t="s">
        <v>299</v>
      </c>
      <c r="BI4" s="130"/>
      <c r="BJ4" s="127" t="s">
        <v>298</v>
      </c>
      <c r="BK4" s="128"/>
      <c r="BL4" s="129" t="s">
        <v>299</v>
      </c>
      <c r="BM4" s="130"/>
      <c r="BN4" s="127" t="s">
        <v>298</v>
      </c>
      <c r="BO4" s="128"/>
      <c r="BP4" s="129" t="s">
        <v>299</v>
      </c>
      <c r="BQ4" s="130"/>
      <c r="BR4" s="127" t="s">
        <v>298</v>
      </c>
      <c r="BS4" s="128"/>
      <c r="BT4" s="129" t="s">
        <v>299</v>
      </c>
      <c r="BU4" s="130"/>
      <c r="BV4" s="127" t="s">
        <v>298</v>
      </c>
      <c r="BW4" s="128"/>
      <c r="BX4" s="129" t="s">
        <v>299</v>
      </c>
      <c r="BY4" s="130"/>
      <c r="BZ4" s="127" t="s">
        <v>298</v>
      </c>
      <c r="CA4" s="128"/>
      <c r="CB4" s="129" t="s">
        <v>299</v>
      </c>
      <c r="CC4" s="130"/>
      <c r="CD4" s="127" t="s">
        <v>298</v>
      </c>
      <c r="CE4" s="128"/>
      <c r="CF4" s="129" t="s">
        <v>299</v>
      </c>
      <c r="CG4" s="130"/>
      <c r="CH4" s="127" t="s">
        <v>298</v>
      </c>
      <c r="CI4" s="128"/>
      <c r="CJ4" s="129" t="s">
        <v>299</v>
      </c>
      <c r="CK4" s="130"/>
      <c r="CL4" s="127" t="s">
        <v>298</v>
      </c>
      <c r="CM4" s="128"/>
      <c r="CN4" s="129" t="s">
        <v>299</v>
      </c>
      <c r="CO4" s="130"/>
      <c r="CP4" s="127" t="s">
        <v>298</v>
      </c>
      <c r="CQ4" s="128"/>
      <c r="CR4" s="129" t="s">
        <v>299</v>
      </c>
      <c r="CS4" s="130"/>
      <c r="CT4" s="127" t="s">
        <v>298</v>
      </c>
      <c r="CU4" s="128"/>
      <c r="CV4" s="129" t="s">
        <v>299</v>
      </c>
      <c r="CW4" s="130"/>
      <c r="CX4" s="127" t="s">
        <v>298</v>
      </c>
      <c r="CY4" s="128"/>
      <c r="CZ4" s="129" t="s">
        <v>299</v>
      </c>
      <c r="DA4" s="130"/>
      <c r="DB4" s="127" t="s">
        <v>298</v>
      </c>
      <c r="DC4" s="128"/>
      <c r="DD4" s="129" t="s">
        <v>299</v>
      </c>
      <c r="DE4" s="130"/>
      <c r="DF4" s="127" t="s">
        <v>298</v>
      </c>
      <c r="DG4" s="128"/>
      <c r="DH4" s="129" t="s">
        <v>299</v>
      </c>
      <c r="DI4" s="130"/>
      <c r="DJ4" s="127" t="s">
        <v>298</v>
      </c>
      <c r="DK4" s="128"/>
      <c r="DL4" s="129" t="s">
        <v>299</v>
      </c>
      <c r="DM4" s="130"/>
      <c r="DN4" s="127" t="s">
        <v>298</v>
      </c>
      <c r="DO4" s="128"/>
      <c r="DP4" s="129" t="s">
        <v>299</v>
      </c>
      <c r="DQ4" s="130"/>
      <c r="DR4" s="127" t="s">
        <v>298</v>
      </c>
      <c r="DS4" s="128"/>
      <c r="DT4" s="129" t="s">
        <v>299</v>
      </c>
      <c r="DU4" s="130"/>
      <c r="DV4" s="127" t="s">
        <v>298</v>
      </c>
      <c r="DW4" s="128"/>
      <c r="DX4" s="129" t="s">
        <v>299</v>
      </c>
      <c r="DY4" s="130"/>
      <c r="DZ4" s="127" t="s">
        <v>298</v>
      </c>
      <c r="EA4" s="128"/>
      <c r="EB4" s="129" t="s">
        <v>299</v>
      </c>
      <c r="EC4" s="130"/>
    </row>
    <row r="5" spans="1:133" s="71" customFormat="1" x14ac:dyDescent="0.25">
      <c r="A5" s="70"/>
      <c r="B5" s="90" t="s">
        <v>136</v>
      </c>
      <c r="C5" s="90" t="s">
        <v>137</v>
      </c>
      <c r="D5" s="90" t="s">
        <v>136</v>
      </c>
      <c r="E5" s="90" t="s">
        <v>137</v>
      </c>
      <c r="F5" s="90" t="s">
        <v>136</v>
      </c>
      <c r="G5" s="90" t="s">
        <v>137</v>
      </c>
      <c r="H5" s="90" t="s">
        <v>136</v>
      </c>
      <c r="I5" s="90" t="s">
        <v>137</v>
      </c>
      <c r="J5" s="90" t="s">
        <v>136</v>
      </c>
      <c r="K5" s="90" t="s">
        <v>137</v>
      </c>
      <c r="L5" s="90" t="s">
        <v>136</v>
      </c>
      <c r="M5" s="90" t="s">
        <v>137</v>
      </c>
      <c r="N5" s="90" t="s">
        <v>136</v>
      </c>
      <c r="O5" s="90" t="s">
        <v>137</v>
      </c>
      <c r="P5" s="90" t="s">
        <v>136</v>
      </c>
      <c r="Q5" s="90" t="s">
        <v>137</v>
      </c>
      <c r="R5" s="90" t="s">
        <v>136</v>
      </c>
      <c r="S5" s="90" t="s">
        <v>137</v>
      </c>
      <c r="T5" s="90" t="s">
        <v>136</v>
      </c>
      <c r="U5" s="90" t="s">
        <v>137</v>
      </c>
      <c r="V5" s="90" t="s">
        <v>136</v>
      </c>
      <c r="W5" s="90" t="s">
        <v>137</v>
      </c>
      <c r="X5" s="90" t="s">
        <v>136</v>
      </c>
      <c r="Y5" s="90" t="s">
        <v>137</v>
      </c>
      <c r="Z5" s="90" t="s">
        <v>136</v>
      </c>
      <c r="AA5" s="90" t="s">
        <v>137</v>
      </c>
      <c r="AB5" s="90" t="s">
        <v>136</v>
      </c>
      <c r="AC5" s="90" t="s">
        <v>137</v>
      </c>
      <c r="AD5" s="90" t="s">
        <v>136</v>
      </c>
      <c r="AE5" s="90" t="s">
        <v>137</v>
      </c>
      <c r="AF5" s="90" t="s">
        <v>136</v>
      </c>
      <c r="AG5" s="90" t="s">
        <v>137</v>
      </c>
      <c r="AH5" s="90" t="s">
        <v>136</v>
      </c>
      <c r="AI5" s="90" t="s">
        <v>137</v>
      </c>
      <c r="AJ5" s="90" t="s">
        <v>136</v>
      </c>
      <c r="AK5" s="90" t="s">
        <v>137</v>
      </c>
      <c r="AL5" s="90" t="s">
        <v>136</v>
      </c>
      <c r="AM5" s="90" t="s">
        <v>137</v>
      </c>
      <c r="AN5" s="90" t="s">
        <v>136</v>
      </c>
      <c r="AO5" s="90" t="s">
        <v>137</v>
      </c>
      <c r="AP5" s="90" t="s">
        <v>136</v>
      </c>
      <c r="AQ5" s="90" t="s">
        <v>137</v>
      </c>
      <c r="AR5" s="90" t="s">
        <v>136</v>
      </c>
      <c r="AS5" s="90" t="s">
        <v>137</v>
      </c>
      <c r="AT5" s="90" t="s">
        <v>136</v>
      </c>
      <c r="AU5" s="90" t="s">
        <v>137</v>
      </c>
      <c r="AV5" s="90" t="s">
        <v>136</v>
      </c>
      <c r="AW5" s="90" t="s">
        <v>137</v>
      </c>
      <c r="AX5" s="90" t="s">
        <v>136</v>
      </c>
      <c r="AY5" s="90" t="s">
        <v>137</v>
      </c>
      <c r="AZ5" s="90" t="s">
        <v>136</v>
      </c>
      <c r="BA5" s="90" t="s">
        <v>137</v>
      </c>
      <c r="BB5" s="90" t="s">
        <v>136</v>
      </c>
      <c r="BC5" s="90" t="s">
        <v>137</v>
      </c>
      <c r="BD5" s="90" t="s">
        <v>136</v>
      </c>
      <c r="BE5" s="90" t="s">
        <v>137</v>
      </c>
      <c r="BF5" s="90" t="s">
        <v>136</v>
      </c>
      <c r="BG5" s="90" t="s">
        <v>137</v>
      </c>
      <c r="BH5" s="90" t="s">
        <v>136</v>
      </c>
      <c r="BI5" s="90" t="s">
        <v>137</v>
      </c>
      <c r="BJ5" s="90" t="s">
        <v>136</v>
      </c>
      <c r="BK5" s="90" t="s">
        <v>137</v>
      </c>
      <c r="BL5" s="90" t="s">
        <v>136</v>
      </c>
      <c r="BM5" s="90" t="s">
        <v>137</v>
      </c>
      <c r="BN5" s="90" t="s">
        <v>136</v>
      </c>
      <c r="BO5" s="90" t="s">
        <v>137</v>
      </c>
      <c r="BP5" s="90" t="s">
        <v>136</v>
      </c>
      <c r="BQ5" s="90" t="s">
        <v>137</v>
      </c>
      <c r="BR5" s="90" t="s">
        <v>136</v>
      </c>
      <c r="BS5" s="90" t="s">
        <v>137</v>
      </c>
      <c r="BT5" s="90" t="s">
        <v>136</v>
      </c>
      <c r="BU5" s="90" t="s">
        <v>137</v>
      </c>
      <c r="BV5" s="90" t="s">
        <v>136</v>
      </c>
      <c r="BW5" s="90" t="s">
        <v>137</v>
      </c>
      <c r="BX5" s="90" t="s">
        <v>136</v>
      </c>
      <c r="BY5" s="90" t="s">
        <v>137</v>
      </c>
      <c r="BZ5" s="90" t="s">
        <v>136</v>
      </c>
      <c r="CA5" s="90" t="s">
        <v>137</v>
      </c>
      <c r="CB5" s="90" t="s">
        <v>136</v>
      </c>
      <c r="CC5" s="90" t="s">
        <v>137</v>
      </c>
      <c r="CD5" s="90" t="s">
        <v>136</v>
      </c>
      <c r="CE5" s="90" t="s">
        <v>137</v>
      </c>
      <c r="CF5" s="90" t="s">
        <v>136</v>
      </c>
      <c r="CG5" s="90" t="s">
        <v>137</v>
      </c>
      <c r="CH5" s="90" t="s">
        <v>136</v>
      </c>
      <c r="CI5" s="90" t="s">
        <v>137</v>
      </c>
      <c r="CJ5" s="90" t="s">
        <v>136</v>
      </c>
      <c r="CK5" s="90" t="s">
        <v>137</v>
      </c>
      <c r="CL5" s="90" t="s">
        <v>136</v>
      </c>
      <c r="CM5" s="90" t="s">
        <v>137</v>
      </c>
      <c r="CN5" s="90" t="s">
        <v>136</v>
      </c>
      <c r="CO5" s="90" t="s">
        <v>137</v>
      </c>
      <c r="CP5" s="90" t="s">
        <v>136</v>
      </c>
      <c r="CQ5" s="90" t="s">
        <v>137</v>
      </c>
      <c r="CR5" s="90" t="s">
        <v>136</v>
      </c>
      <c r="CS5" s="90" t="s">
        <v>137</v>
      </c>
      <c r="CT5" s="90" t="s">
        <v>136</v>
      </c>
      <c r="CU5" s="90" t="s">
        <v>137</v>
      </c>
      <c r="CV5" s="90" t="s">
        <v>136</v>
      </c>
      <c r="CW5" s="90" t="s">
        <v>137</v>
      </c>
      <c r="CX5" s="90" t="s">
        <v>136</v>
      </c>
      <c r="CY5" s="90" t="s">
        <v>137</v>
      </c>
      <c r="CZ5" s="90" t="s">
        <v>136</v>
      </c>
      <c r="DA5" s="90" t="s">
        <v>137</v>
      </c>
      <c r="DB5" s="90" t="s">
        <v>136</v>
      </c>
      <c r="DC5" s="90" t="s">
        <v>137</v>
      </c>
      <c r="DD5" s="90" t="s">
        <v>136</v>
      </c>
      <c r="DE5" s="90" t="s">
        <v>137</v>
      </c>
      <c r="DF5" s="90" t="s">
        <v>136</v>
      </c>
      <c r="DG5" s="90" t="s">
        <v>137</v>
      </c>
      <c r="DH5" s="90" t="s">
        <v>136</v>
      </c>
      <c r="DI5" s="90" t="s">
        <v>137</v>
      </c>
      <c r="DJ5" s="90" t="s">
        <v>136</v>
      </c>
      <c r="DK5" s="90" t="s">
        <v>137</v>
      </c>
      <c r="DL5" s="90" t="s">
        <v>136</v>
      </c>
      <c r="DM5" s="90" t="s">
        <v>137</v>
      </c>
      <c r="DN5" s="90" t="s">
        <v>136</v>
      </c>
      <c r="DO5" s="90" t="s">
        <v>137</v>
      </c>
      <c r="DP5" s="90" t="s">
        <v>136</v>
      </c>
      <c r="DQ5" s="90" t="s">
        <v>137</v>
      </c>
      <c r="DR5" s="90" t="s">
        <v>136</v>
      </c>
      <c r="DS5" s="90" t="s">
        <v>137</v>
      </c>
      <c r="DT5" s="90" t="s">
        <v>136</v>
      </c>
      <c r="DU5" s="90" t="s">
        <v>137</v>
      </c>
      <c r="DV5" s="90" t="s">
        <v>136</v>
      </c>
      <c r="DW5" s="90" t="s">
        <v>137</v>
      </c>
      <c r="DX5" s="90" t="s">
        <v>136</v>
      </c>
      <c r="DY5" s="90" t="s">
        <v>137</v>
      </c>
      <c r="DZ5" s="90" t="s">
        <v>136</v>
      </c>
      <c r="EA5" s="90" t="s">
        <v>137</v>
      </c>
      <c r="EB5" s="90" t="s">
        <v>136</v>
      </c>
      <c r="EC5" s="90" t="s">
        <v>137</v>
      </c>
    </row>
    <row r="6" spans="1:133" x14ac:dyDescent="0.25">
      <c r="A6" s="10" t="s">
        <v>127</v>
      </c>
      <c r="B6" s="10"/>
      <c r="C6" s="10"/>
      <c r="D6" s="10"/>
      <c r="E6" s="10"/>
      <c r="F6" s="10">
        <v>36984</v>
      </c>
      <c r="G6" s="10">
        <v>5282</v>
      </c>
      <c r="H6" s="10">
        <v>102443</v>
      </c>
      <c r="I6" s="10">
        <v>13492</v>
      </c>
      <c r="J6" s="145"/>
      <c r="K6" s="145"/>
      <c r="L6" s="145"/>
      <c r="M6" s="145"/>
      <c r="N6" s="10">
        <v>320705</v>
      </c>
      <c r="O6" s="10">
        <v>49642</v>
      </c>
      <c r="P6" s="10">
        <v>1029843</v>
      </c>
      <c r="Q6" s="10">
        <v>138485</v>
      </c>
      <c r="R6" s="7">
        <v>880331</v>
      </c>
      <c r="S6" s="10">
        <v>63736</v>
      </c>
      <c r="T6" s="97">
        <v>3923617</v>
      </c>
      <c r="U6" s="103">
        <v>252316</v>
      </c>
      <c r="V6" s="10">
        <v>83348</v>
      </c>
      <c r="W6" s="10">
        <v>5816</v>
      </c>
      <c r="X6" s="10">
        <v>395661</v>
      </c>
      <c r="Y6" s="10">
        <v>27661</v>
      </c>
      <c r="Z6" s="10">
        <v>9517</v>
      </c>
      <c r="AA6" s="10">
        <v>1208</v>
      </c>
      <c r="AB6" s="10">
        <v>34582</v>
      </c>
      <c r="AC6" s="10">
        <v>4650</v>
      </c>
      <c r="AD6" s="10">
        <v>9969</v>
      </c>
      <c r="AE6" s="10">
        <v>155</v>
      </c>
      <c r="AF6" s="10">
        <v>78976</v>
      </c>
      <c r="AG6" s="10">
        <v>1222</v>
      </c>
      <c r="AH6" s="147">
        <v>2234</v>
      </c>
      <c r="AI6" s="147">
        <v>266.91000000000003</v>
      </c>
      <c r="AJ6" s="147">
        <v>6070</v>
      </c>
      <c r="AK6" s="147">
        <v>760.9</v>
      </c>
      <c r="AL6" s="10"/>
      <c r="AM6" s="10"/>
      <c r="AN6" s="10"/>
      <c r="AO6" s="10"/>
      <c r="AP6" s="10">
        <v>198876</v>
      </c>
      <c r="AQ6" s="10">
        <v>21235.74</v>
      </c>
      <c r="AR6" s="10">
        <v>671267</v>
      </c>
      <c r="AS6" s="10">
        <v>75293</v>
      </c>
      <c r="AT6" s="10">
        <v>352071</v>
      </c>
      <c r="AU6" s="10">
        <v>7174</v>
      </c>
      <c r="AV6" s="10">
        <v>1596537</v>
      </c>
      <c r="AW6" s="10">
        <v>51133</v>
      </c>
      <c r="AX6" s="10">
        <v>184415</v>
      </c>
      <c r="AY6" s="10">
        <v>24620.3</v>
      </c>
      <c r="AZ6" s="10">
        <v>729491</v>
      </c>
      <c r="BA6" s="10">
        <v>86879.4</v>
      </c>
      <c r="BB6" s="10">
        <v>359369</v>
      </c>
      <c r="BC6" s="10">
        <v>40579</v>
      </c>
      <c r="BD6" s="10">
        <v>1482528</v>
      </c>
      <c r="BE6" s="10">
        <v>149321</v>
      </c>
      <c r="BF6" s="10">
        <v>976321</v>
      </c>
      <c r="BG6" s="10">
        <v>50233.95</v>
      </c>
      <c r="BH6" s="10">
        <v>3709066</v>
      </c>
      <c r="BI6" s="10">
        <v>169235.62</v>
      </c>
      <c r="BJ6" s="10">
        <v>4183</v>
      </c>
      <c r="BK6" s="10">
        <v>557</v>
      </c>
      <c r="BL6" s="10">
        <v>12522</v>
      </c>
      <c r="BM6" s="10">
        <v>1692</v>
      </c>
      <c r="BN6" s="10">
        <v>34360</v>
      </c>
      <c r="BO6" s="10">
        <v>3408</v>
      </c>
      <c r="BP6" s="10">
        <v>145721</v>
      </c>
      <c r="BQ6" s="10">
        <v>13082</v>
      </c>
      <c r="BR6" s="10">
        <v>27212</v>
      </c>
      <c r="BS6" s="10">
        <v>2475</v>
      </c>
      <c r="BT6" s="10">
        <v>138486</v>
      </c>
      <c r="BU6" s="10">
        <v>11308</v>
      </c>
      <c r="BV6" s="10">
        <v>32537</v>
      </c>
      <c r="BW6" s="10">
        <v>4967</v>
      </c>
      <c r="BX6" s="10">
        <v>103975</v>
      </c>
      <c r="BY6" s="10">
        <v>15525</v>
      </c>
      <c r="BZ6" s="10">
        <v>299720</v>
      </c>
      <c r="CA6" s="10">
        <v>14621</v>
      </c>
      <c r="CB6" s="10">
        <v>426747</v>
      </c>
      <c r="CC6" s="10">
        <v>45035</v>
      </c>
      <c r="CD6" s="10">
        <v>2169112</v>
      </c>
      <c r="CE6" s="10">
        <v>169417.42177460034</v>
      </c>
      <c r="CF6" s="10">
        <v>9251937</v>
      </c>
      <c r="CG6" s="10">
        <v>621268.41007370024</v>
      </c>
      <c r="CH6" s="10">
        <v>2352096</v>
      </c>
      <c r="CI6" s="10">
        <v>183494</v>
      </c>
      <c r="CJ6" s="10"/>
      <c r="CK6" s="10"/>
      <c r="CL6" s="10">
        <v>1193140</v>
      </c>
      <c r="CM6" s="10">
        <v>144644</v>
      </c>
      <c r="CN6" s="10">
        <v>6458809</v>
      </c>
      <c r="CO6" s="10">
        <v>533549</v>
      </c>
      <c r="CP6" s="10">
        <v>8781</v>
      </c>
      <c r="CQ6" s="10">
        <v>1426.789066</v>
      </c>
      <c r="CR6" s="10">
        <v>9814</v>
      </c>
      <c r="CS6" s="10">
        <v>2021.889224</v>
      </c>
      <c r="CT6" s="10">
        <v>277801</v>
      </c>
      <c r="CU6" s="10">
        <v>21501</v>
      </c>
      <c r="CV6" s="10">
        <v>1637615</v>
      </c>
      <c r="CW6" s="10">
        <v>121329</v>
      </c>
      <c r="CX6" s="10">
        <v>195000</v>
      </c>
      <c r="CY6" s="10">
        <v>25430</v>
      </c>
      <c r="CZ6" s="10">
        <v>520093</v>
      </c>
      <c r="DA6" s="10">
        <v>72549</v>
      </c>
      <c r="DB6" s="10">
        <v>107962</v>
      </c>
      <c r="DC6" s="10">
        <v>13406</v>
      </c>
      <c r="DD6" s="10">
        <v>410578</v>
      </c>
      <c r="DE6" s="10">
        <v>55141</v>
      </c>
      <c r="DF6" s="10">
        <v>63345</v>
      </c>
      <c r="DG6" s="10">
        <v>20560</v>
      </c>
      <c r="DH6" s="10">
        <v>203926</v>
      </c>
      <c r="DI6" s="10">
        <v>40361</v>
      </c>
      <c r="DJ6" s="36">
        <v>492076</v>
      </c>
      <c r="DK6" s="36">
        <v>23855</v>
      </c>
      <c r="DL6" s="36">
        <v>1918261</v>
      </c>
      <c r="DM6" s="36">
        <v>95833</v>
      </c>
      <c r="DN6" s="10">
        <v>1413004</v>
      </c>
      <c r="DO6" s="10">
        <v>187629</v>
      </c>
      <c r="DP6" s="10">
        <v>4233628</v>
      </c>
      <c r="DQ6" s="10">
        <v>523852</v>
      </c>
      <c r="DR6" s="10">
        <v>293584</v>
      </c>
      <c r="DS6" s="10">
        <v>42073</v>
      </c>
      <c r="DT6" s="10">
        <v>1265261</v>
      </c>
      <c r="DU6" s="10">
        <v>165024</v>
      </c>
      <c r="DV6" s="10">
        <v>3300050</v>
      </c>
      <c r="DW6" s="10">
        <v>211350</v>
      </c>
      <c r="DX6" s="10">
        <v>13876195</v>
      </c>
      <c r="DY6" s="10">
        <v>816827</v>
      </c>
      <c r="DZ6" s="10">
        <v>19612</v>
      </c>
      <c r="EA6" s="10">
        <v>3671</v>
      </c>
      <c r="EB6" s="10">
        <v>74133</v>
      </c>
      <c r="EC6" s="10">
        <v>11402</v>
      </c>
    </row>
    <row r="7" spans="1:133" x14ac:dyDescent="0.25">
      <c r="A7" s="10" t="s">
        <v>128</v>
      </c>
      <c r="B7" s="10"/>
      <c r="C7" s="10"/>
      <c r="D7" s="10">
        <v>513</v>
      </c>
      <c r="E7" s="10">
        <v>37</v>
      </c>
      <c r="F7" s="10">
        <v>89537</v>
      </c>
      <c r="G7" s="10">
        <v>8976</v>
      </c>
      <c r="H7" s="10">
        <v>248505</v>
      </c>
      <c r="I7" s="10">
        <v>23786</v>
      </c>
      <c r="J7" s="145"/>
      <c r="K7" s="145"/>
      <c r="L7" s="145"/>
      <c r="M7" s="145"/>
      <c r="N7" s="10">
        <v>16626</v>
      </c>
      <c r="O7" s="10">
        <v>12119</v>
      </c>
      <c r="P7" s="10">
        <v>76390</v>
      </c>
      <c r="Q7" s="10">
        <v>39644</v>
      </c>
      <c r="R7" s="10">
        <v>2101632</v>
      </c>
      <c r="S7" s="10">
        <v>39713</v>
      </c>
      <c r="T7" s="97">
        <v>7774782</v>
      </c>
      <c r="U7" s="104">
        <v>150533</v>
      </c>
      <c r="V7" s="10">
        <v>150068</v>
      </c>
      <c r="W7" s="10">
        <v>5518</v>
      </c>
      <c r="X7" s="10">
        <v>378218</v>
      </c>
      <c r="Y7" s="10">
        <v>16489</v>
      </c>
      <c r="Z7" s="10">
        <v>373375</v>
      </c>
      <c r="AA7" s="10">
        <v>39282</v>
      </c>
      <c r="AB7" s="10">
        <v>1313270</v>
      </c>
      <c r="AC7" s="10">
        <v>143447</v>
      </c>
      <c r="AD7" s="10">
        <v>1</v>
      </c>
      <c r="AE7" s="10"/>
      <c r="AF7" s="10">
        <v>10</v>
      </c>
      <c r="AG7" s="10">
        <v>1</v>
      </c>
      <c r="AH7" s="147"/>
      <c r="AI7" s="147"/>
      <c r="AJ7" s="147"/>
      <c r="AK7" s="147"/>
      <c r="AL7" s="10">
        <v>5</v>
      </c>
      <c r="AM7" s="10">
        <v>100.8</v>
      </c>
      <c r="AN7" s="10">
        <v>5</v>
      </c>
      <c r="AO7" s="10">
        <v>105</v>
      </c>
      <c r="AP7" s="10">
        <v>214217</v>
      </c>
      <c r="AQ7" s="10">
        <v>4870.3999999999996</v>
      </c>
      <c r="AR7" s="10">
        <v>813400</v>
      </c>
      <c r="AS7" s="10">
        <v>17433.29</v>
      </c>
      <c r="AT7" s="10">
        <v>222</v>
      </c>
      <c r="AU7" s="10">
        <v>22</v>
      </c>
      <c r="AV7" s="10">
        <v>222</v>
      </c>
      <c r="AW7" s="10">
        <v>121</v>
      </c>
      <c r="AX7" s="10">
        <v>574680</v>
      </c>
      <c r="AY7" s="10">
        <v>39083</v>
      </c>
      <c r="AZ7" s="10">
        <v>2541928</v>
      </c>
      <c r="BA7" s="10">
        <v>150077.29999999999</v>
      </c>
      <c r="BB7" s="10">
        <v>341019</v>
      </c>
      <c r="BC7" s="10">
        <v>36797</v>
      </c>
      <c r="BD7" s="10">
        <v>927362</v>
      </c>
      <c r="BE7" s="10">
        <v>140570</v>
      </c>
      <c r="BF7" s="10">
        <v>58944</v>
      </c>
      <c r="BG7" s="10">
        <v>1548.59</v>
      </c>
      <c r="BH7" s="10">
        <v>200830</v>
      </c>
      <c r="BI7" s="10">
        <v>6758.94</v>
      </c>
      <c r="BJ7" s="10">
        <v>36424</v>
      </c>
      <c r="BK7" s="10">
        <v>2832</v>
      </c>
      <c r="BL7" s="10">
        <v>143101</v>
      </c>
      <c r="BM7" s="10">
        <v>11956</v>
      </c>
      <c r="BN7" s="10">
        <v>15841</v>
      </c>
      <c r="BO7" s="10">
        <v>455</v>
      </c>
      <c r="BP7" s="10">
        <v>87153</v>
      </c>
      <c r="BQ7" s="10">
        <v>2173</v>
      </c>
      <c r="BR7" s="10">
        <v>2164</v>
      </c>
      <c r="BS7" s="10">
        <v>27</v>
      </c>
      <c r="BT7" s="10">
        <v>7980</v>
      </c>
      <c r="BU7" s="10">
        <v>104</v>
      </c>
      <c r="BV7" s="10">
        <v>4732</v>
      </c>
      <c r="BW7" s="10">
        <v>3739</v>
      </c>
      <c r="BX7" s="10">
        <v>15577</v>
      </c>
      <c r="BY7" s="10">
        <v>11508</v>
      </c>
      <c r="BZ7" s="10">
        <v>105627</v>
      </c>
      <c r="CA7" s="10">
        <v>9356</v>
      </c>
      <c r="CB7" s="10">
        <v>133075</v>
      </c>
      <c r="CC7" s="10">
        <v>25937</v>
      </c>
      <c r="CD7" s="10">
        <v>9889</v>
      </c>
      <c r="CE7" s="10">
        <v>451.42434109999994</v>
      </c>
      <c r="CF7" s="10">
        <v>48514</v>
      </c>
      <c r="CG7" s="10">
        <v>2010.4119945000002</v>
      </c>
      <c r="CH7" s="10">
        <v>89410</v>
      </c>
      <c r="CI7" s="10">
        <v>6885</v>
      </c>
      <c r="CJ7" s="10"/>
      <c r="CK7" s="10"/>
      <c r="CL7" s="10">
        <v>173079</v>
      </c>
      <c r="CM7" s="10">
        <v>44811</v>
      </c>
      <c r="CN7" s="10">
        <v>258027</v>
      </c>
      <c r="CO7" s="10">
        <v>65050</v>
      </c>
      <c r="CP7" s="10">
        <v>0</v>
      </c>
      <c r="CQ7" s="10">
        <v>0</v>
      </c>
      <c r="CR7" s="10">
        <v>0</v>
      </c>
      <c r="CS7" s="10">
        <v>0</v>
      </c>
      <c r="CT7" s="10">
        <v>122661</v>
      </c>
      <c r="CU7" s="10">
        <v>6230</v>
      </c>
      <c r="CV7" s="10">
        <v>543154</v>
      </c>
      <c r="CW7" s="10">
        <v>26316</v>
      </c>
      <c r="CX7" s="10">
        <v>65792</v>
      </c>
      <c r="CY7" s="10">
        <v>12159</v>
      </c>
      <c r="CZ7" s="10">
        <v>154533</v>
      </c>
      <c r="DA7" s="10">
        <v>38226</v>
      </c>
      <c r="DB7" s="10">
        <v>12440</v>
      </c>
      <c r="DC7" s="10">
        <v>1786</v>
      </c>
      <c r="DD7" s="10">
        <v>49176</v>
      </c>
      <c r="DE7" s="10">
        <v>6948</v>
      </c>
      <c r="DF7" s="10">
        <v>1219844</v>
      </c>
      <c r="DG7" s="10">
        <v>66306</v>
      </c>
      <c r="DH7" s="10">
        <v>3827917</v>
      </c>
      <c r="DI7" s="10">
        <v>217133</v>
      </c>
      <c r="DJ7" s="36">
        <v>6054</v>
      </c>
      <c r="DK7" s="36">
        <v>72</v>
      </c>
      <c r="DL7" s="36">
        <v>23339</v>
      </c>
      <c r="DM7" s="36">
        <v>308</v>
      </c>
      <c r="DN7" s="10">
        <v>43451</v>
      </c>
      <c r="DO7" s="10">
        <v>7152</v>
      </c>
      <c r="DP7" s="10">
        <v>124788</v>
      </c>
      <c r="DQ7" s="10">
        <v>12898</v>
      </c>
      <c r="DR7" s="10">
        <v>605842</v>
      </c>
      <c r="DS7" s="10">
        <v>22504</v>
      </c>
      <c r="DT7" s="10">
        <v>1766070</v>
      </c>
      <c r="DU7" s="10">
        <v>75778</v>
      </c>
      <c r="DV7" s="10">
        <v>185909</v>
      </c>
      <c r="DW7" s="10">
        <v>7703</v>
      </c>
      <c r="DX7" s="10">
        <v>739464</v>
      </c>
      <c r="DY7" s="10">
        <v>46637</v>
      </c>
      <c r="DZ7" s="10">
        <v>161347</v>
      </c>
      <c r="EA7" s="10">
        <v>9504</v>
      </c>
      <c r="EB7" s="10">
        <v>617376</v>
      </c>
      <c r="EC7" s="10">
        <v>35691</v>
      </c>
    </row>
    <row r="8" spans="1:133" x14ac:dyDescent="0.25">
      <c r="A8" s="10" t="s">
        <v>129</v>
      </c>
      <c r="B8" s="10">
        <v>17171</v>
      </c>
      <c r="C8" s="10">
        <v>1360</v>
      </c>
      <c r="D8" s="10">
        <v>26044</v>
      </c>
      <c r="E8" s="10">
        <v>1807</v>
      </c>
      <c r="F8" s="10">
        <v>1039</v>
      </c>
      <c r="G8" s="10">
        <v>6095</v>
      </c>
      <c r="H8" s="10">
        <v>3701</v>
      </c>
      <c r="I8" s="10">
        <v>14722</v>
      </c>
      <c r="J8" s="145"/>
      <c r="K8" s="145"/>
      <c r="L8" s="145"/>
      <c r="M8" s="145"/>
      <c r="N8" s="10">
        <v>926</v>
      </c>
      <c r="O8" s="10">
        <v>581</v>
      </c>
      <c r="P8" s="10">
        <v>3725</v>
      </c>
      <c r="Q8" s="10">
        <v>1640</v>
      </c>
      <c r="R8" s="10">
        <v>306641</v>
      </c>
      <c r="S8" s="10">
        <v>13486</v>
      </c>
      <c r="T8" s="10">
        <v>1956273</v>
      </c>
      <c r="U8" s="10">
        <v>48723</v>
      </c>
      <c r="V8" s="10">
        <v>292742</v>
      </c>
      <c r="W8" s="10">
        <v>4191</v>
      </c>
      <c r="X8" s="10">
        <v>1555063</v>
      </c>
      <c r="Y8" s="10">
        <v>17681</v>
      </c>
      <c r="Z8" s="10">
        <v>693032</v>
      </c>
      <c r="AA8" s="10">
        <v>42834</v>
      </c>
      <c r="AB8" s="10">
        <v>2508548</v>
      </c>
      <c r="AC8" s="10">
        <v>179119</v>
      </c>
      <c r="AD8" s="10">
        <v>24049</v>
      </c>
      <c r="AE8" s="10">
        <v>1496</v>
      </c>
      <c r="AF8" s="10">
        <v>84319</v>
      </c>
      <c r="AG8" s="10">
        <v>5173</v>
      </c>
      <c r="AH8" s="147">
        <v>464</v>
      </c>
      <c r="AI8" s="147">
        <v>54.02</v>
      </c>
      <c r="AJ8" s="147">
        <v>612</v>
      </c>
      <c r="AK8" s="147">
        <v>82.54</v>
      </c>
      <c r="AL8" s="10"/>
      <c r="AM8" s="10"/>
      <c r="AN8" s="10"/>
      <c r="AO8" s="10"/>
      <c r="AP8" s="10">
        <v>15810</v>
      </c>
      <c r="AQ8" s="10">
        <v>1597.82</v>
      </c>
      <c r="AR8" s="10">
        <v>62757</v>
      </c>
      <c r="AS8" s="10">
        <v>6115.79</v>
      </c>
      <c r="AT8" s="10">
        <v>10692</v>
      </c>
      <c r="AU8" s="10">
        <v>2860</v>
      </c>
      <c r="AV8" s="10">
        <v>36194</v>
      </c>
      <c r="AW8" s="10">
        <v>8972</v>
      </c>
      <c r="AX8" s="10">
        <v>80973</v>
      </c>
      <c r="AY8" s="10">
        <v>14820.3</v>
      </c>
      <c r="AZ8" s="10">
        <v>360386</v>
      </c>
      <c r="BA8" s="10">
        <v>59197.8</v>
      </c>
      <c r="BB8" s="10">
        <v>63856</v>
      </c>
      <c r="BC8" s="10">
        <v>12501</v>
      </c>
      <c r="BD8" s="10">
        <v>275457</v>
      </c>
      <c r="BE8" s="10">
        <v>45296</v>
      </c>
      <c r="BF8" s="10">
        <v>14239</v>
      </c>
      <c r="BG8" s="10">
        <v>1124.69</v>
      </c>
      <c r="BH8" s="10">
        <v>42710</v>
      </c>
      <c r="BI8" s="10">
        <v>2516.41</v>
      </c>
      <c r="BJ8" s="10">
        <v>85144</v>
      </c>
      <c r="BK8" s="10">
        <v>901</v>
      </c>
      <c r="BL8" s="10">
        <v>339069</v>
      </c>
      <c r="BM8" s="10">
        <v>3869</v>
      </c>
      <c r="BN8" s="10">
        <v>500</v>
      </c>
      <c r="BO8" s="10">
        <v>612</v>
      </c>
      <c r="BP8" s="10">
        <v>13602</v>
      </c>
      <c r="BQ8" s="10">
        <v>2708</v>
      </c>
      <c r="BR8" s="10">
        <v>30881</v>
      </c>
      <c r="BS8" s="10">
        <v>5072</v>
      </c>
      <c r="BT8" s="10">
        <v>116498</v>
      </c>
      <c r="BU8" s="10">
        <v>18563</v>
      </c>
      <c r="BV8" s="10">
        <v>3667</v>
      </c>
      <c r="BW8" s="10">
        <v>793</v>
      </c>
      <c r="BX8" s="10">
        <v>18512</v>
      </c>
      <c r="BY8" s="10">
        <v>2245</v>
      </c>
      <c r="BZ8" s="10">
        <v>1751</v>
      </c>
      <c r="CA8" s="10">
        <v>3104</v>
      </c>
      <c r="CB8" s="10">
        <v>1935</v>
      </c>
      <c r="CC8" s="10">
        <v>12776</v>
      </c>
      <c r="CD8" s="10">
        <v>871249</v>
      </c>
      <c r="CE8" s="10">
        <v>11808.819954199997</v>
      </c>
      <c r="CF8" s="10">
        <v>3031311</v>
      </c>
      <c r="CG8" s="10">
        <v>44200.442187599991</v>
      </c>
      <c r="CH8" s="10">
        <v>606056</v>
      </c>
      <c r="CI8" s="10">
        <v>40559</v>
      </c>
      <c r="CJ8" s="10"/>
      <c r="CK8" s="10"/>
      <c r="CL8" s="10">
        <v>14664</v>
      </c>
      <c r="CM8" s="10">
        <v>551</v>
      </c>
      <c r="CN8" s="10">
        <v>61210</v>
      </c>
      <c r="CO8" s="10">
        <v>2745</v>
      </c>
      <c r="CP8" s="10">
        <v>0</v>
      </c>
      <c r="CQ8" s="10">
        <v>0</v>
      </c>
      <c r="CR8" s="10">
        <v>0</v>
      </c>
      <c r="CS8" s="10">
        <v>0</v>
      </c>
      <c r="CT8" s="10">
        <v>32718</v>
      </c>
      <c r="CU8" s="10">
        <v>7587</v>
      </c>
      <c r="CV8" s="10">
        <v>129641</v>
      </c>
      <c r="CW8" s="10">
        <v>28349</v>
      </c>
      <c r="CX8" s="10">
        <v>5865</v>
      </c>
      <c r="CY8" s="10">
        <v>969</v>
      </c>
      <c r="CZ8" s="10">
        <v>13129</v>
      </c>
      <c r="DA8" s="10">
        <v>2458</v>
      </c>
      <c r="DB8" s="10">
        <v>43444</v>
      </c>
      <c r="DC8" s="10">
        <v>11333</v>
      </c>
      <c r="DD8" s="10">
        <v>161260</v>
      </c>
      <c r="DE8" s="10">
        <v>43409</v>
      </c>
      <c r="DF8" s="10">
        <v>1170</v>
      </c>
      <c r="DG8" s="10">
        <v>4081</v>
      </c>
      <c r="DH8" s="10">
        <v>3708</v>
      </c>
      <c r="DI8" s="10">
        <v>4296</v>
      </c>
      <c r="DJ8" s="36">
        <v>155136</v>
      </c>
      <c r="DK8" s="36">
        <v>33802</v>
      </c>
      <c r="DL8" s="36">
        <v>569286</v>
      </c>
      <c r="DM8" s="36">
        <v>116290</v>
      </c>
      <c r="DN8" s="10">
        <v>3096</v>
      </c>
      <c r="DO8" s="10">
        <v>365</v>
      </c>
      <c r="DP8" s="10">
        <v>9514</v>
      </c>
      <c r="DQ8" s="10">
        <v>163</v>
      </c>
      <c r="DR8" s="10">
        <v>190856</v>
      </c>
      <c r="DS8" s="10">
        <v>6935</v>
      </c>
      <c r="DT8" s="10">
        <v>1465235</v>
      </c>
      <c r="DU8" s="10">
        <v>22137</v>
      </c>
      <c r="DV8" s="10">
        <v>11427</v>
      </c>
      <c r="DW8" s="10">
        <v>2480</v>
      </c>
      <c r="DX8" s="10">
        <v>42994</v>
      </c>
      <c r="DY8" s="10">
        <v>8307</v>
      </c>
      <c r="DZ8" s="10">
        <v>84</v>
      </c>
      <c r="EA8" s="10">
        <v>5</v>
      </c>
      <c r="EB8" s="10">
        <v>285</v>
      </c>
      <c r="EC8" s="10">
        <v>50</v>
      </c>
    </row>
    <row r="9" spans="1:133" x14ac:dyDescent="0.25">
      <c r="A9" s="10" t="s">
        <v>130</v>
      </c>
      <c r="B9" s="10">
        <v>102672</v>
      </c>
      <c r="C9" s="10">
        <v>1900</v>
      </c>
      <c r="D9" s="10">
        <v>392914</v>
      </c>
      <c r="E9" s="10">
        <v>5920</v>
      </c>
      <c r="F9" s="10">
        <v>7948</v>
      </c>
      <c r="G9" s="10">
        <v>8754</v>
      </c>
      <c r="H9" s="10">
        <v>23377</v>
      </c>
      <c r="I9" s="10">
        <v>25749</v>
      </c>
      <c r="J9" s="145">
        <v>-10580</v>
      </c>
      <c r="K9" s="145">
        <v>-2774</v>
      </c>
      <c r="L9" s="145">
        <v>2487700</v>
      </c>
      <c r="M9" s="145">
        <v>20780</v>
      </c>
      <c r="N9" s="10">
        <v>25307</v>
      </c>
      <c r="O9" s="10">
        <v>20062</v>
      </c>
      <c r="P9" s="10">
        <v>80900</v>
      </c>
      <c r="Q9" s="10">
        <v>37524</v>
      </c>
      <c r="R9" s="10">
        <v>2284524</v>
      </c>
      <c r="S9" s="10">
        <v>125022</v>
      </c>
      <c r="T9" s="10">
        <v>9467217</v>
      </c>
      <c r="U9" s="10">
        <v>476321</v>
      </c>
      <c r="V9" s="10">
        <v>662568</v>
      </c>
      <c r="W9" s="10">
        <v>35601</v>
      </c>
      <c r="X9" s="10">
        <v>2283325</v>
      </c>
      <c r="Y9" s="10">
        <v>143902</v>
      </c>
      <c r="Z9" s="10">
        <v>145974</v>
      </c>
      <c r="AA9" s="10">
        <v>23714</v>
      </c>
      <c r="AB9" s="10">
        <v>541242</v>
      </c>
      <c r="AC9" s="10">
        <v>92018</v>
      </c>
      <c r="AD9" s="10">
        <v>17491</v>
      </c>
      <c r="AE9" s="10">
        <v>434</v>
      </c>
      <c r="AF9" s="10">
        <v>223148</v>
      </c>
      <c r="AG9" s="10">
        <v>5256</v>
      </c>
      <c r="AH9" s="147">
        <v>13220</v>
      </c>
      <c r="AI9" s="147">
        <v>2749.8</v>
      </c>
      <c r="AJ9" s="147">
        <v>22930</v>
      </c>
      <c r="AK9" s="147">
        <v>7356.58</v>
      </c>
      <c r="AL9" s="10">
        <v>98</v>
      </c>
      <c r="AM9" s="10">
        <v>2247.09</v>
      </c>
      <c r="AN9" s="10">
        <v>336</v>
      </c>
      <c r="AO9" s="10">
        <v>8790.5300000000007</v>
      </c>
      <c r="AP9" s="10">
        <v>121329</v>
      </c>
      <c r="AQ9" s="10">
        <v>27642.54</v>
      </c>
      <c r="AR9" s="10">
        <v>375083</v>
      </c>
      <c r="AS9" s="10">
        <v>90296.13</v>
      </c>
      <c r="AT9" s="10">
        <v>207352</v>
      </c>
      <c r="AU9" s="10">
        <v>7439</v>
      </c>
      <c r="AV9" s="10">
        <v>730925</v>
      </c>
      <c r="AW9" s="10">
        <v>43127</v>
      </c>
      <c r="AX9" s="10">
        <v>761437</v>
      </c>
      <c r="AY9" s="10">
        <v>67730.8</v>
      </c>
      <c r="AZ9" s="10">
        <v>2686273</v>
      </c>
      <c r="BA9" s="10">
        <v>282136.09999999998</v>
      </c>
      <c r="BB9" s="10">
        <v>3358658</v>
      </c>
      <c r="BC9" s="10">
        <v>161232</v>
      </c>
      <c r="BD9" s="10">
        <v>17189211</v>
      </c>
      <c r="BE9" s="10">
        <v>660216</v>
      </c>
      <c r="BF9" s="10">
        <v>187498</v>
      </c>
      <c r="BG9" s="10">
        <v>35995.68</v>
      </c>
      <c r="BH9" s="10">
        <v>721618</v>
      </c>
      <c r="BI9" s="10">
        <v>163166.59</v>
      </c>
      <c r="BJ9" s="10">
        <v>47195</v>
      </c>
      <c r="BK9" s="10">
        <v>3513</v>
      </c>
      <c r="BL9" s="10">
        <v>156839</v>
      </c>
      <c r="BM9" s="10">
        <v>12199</v>
      </c>
      <c r="BN9" s="10">
        <v>399414</v>
      </c>
      <c r="BO9" s="10">
        <v>28203</v>
      </c>
      <c r="BP9" s="10">
        <v>1368246</v>
      </c>
      <c r="BQ9" s="10">
        <v>104830</v>
      </c>
      <c r="BR9" s="10">
        <v>115853</v>
      </c>
      <c r="BS9" s="10">
        <v>15043</v>
      </c>
      <c r="BT9" s="10">
        <v>410507</v>
      </c>
      <c r="BU9" s="10">
        <v>49939</v>
      </c>
      <c r="BV9" s="10">
        <v>22083</v>
      </c>
      <c r="BW9" s="10">
        <v>4357</v>
      </c>
      <c r="BX9" s="10">
        <v>72066</v>
      </c>
      <c r="BY9" s="10">
        <v>19886</v>
      </c>
      <c r="BZ9" s="10">
        <v>105488</v>
      </c>
      <c r="CA9" s="10">
        <v>6418</v>
      </c>
      <c r="CB9" s="10">
        <v>138287</v>
      </c>
      <c r="CC9" s="10">
        <v>16182</v>
      </c>
      <c r="CD9" s="10">
        <v>402427</v>
      </c>
      <c r="CE9" s="10">
        <v>57127.455048299984</v>
      </c>
      <c r="CF9" s="10">
        <v>1592295</v>
      </c>
      <c r="CG9" s="10">
        <v>282318.0339022</v>
      </c>
      <c r="CH9" s="10">
        <v>114199</v>
      </c>
      <c r="CI9" s="10">
        <v>106433</v>
      </c>
      <c r="CJ9" s="10"/>
      <c r="CK9" s="10"/>
      <c r="CL9" s="10">
        <v>399263</v>
      </c>
      <c r="CM9" s="10">
        <v>64229</v>
      </c>
      <c r="CN9" s="10">
        <v>1289886</v>
      </c>
      <c r="CO9" s="10">
        <v>262220</v>
      </c>
      <c r="CP9" s="10">
        <v>15523</v>
      </c>
      <c r="CQ9" s="10">
        <v>3529.2208730000002</v>
      </c>
      <c r="CR9" s="10">
        <v>43185</v>
      </c>
      <c r="CS9" s="10">
        <v>12204.7924</v>
      </c>
      <c r="CT9" s="10">
        <v>517063</v>
      </c>
      <c r="CU9" s="10">
        <v>35961</v>
      </c>
      <c r="CV9" s="10">
        <v>2051409</v>
      </c>
      <c r="CW9" s="10">
        <v>202626</v>
      </c>
      <c r="CX9" s="10">
        <v>73586</v>
      </c>
      <c r="CY9" s="10">
        <v>15036</v>
      </c>
      <c r="CZ9" s="10">
        <v>223332</v>
      </c>
      <c r="DA9" s="10">
        <v>54499</v>
      </c>
      <c r="DB9" s="10">
        <v>280916</v>
      </c>
      <c r="DC9" s="10">
        <v>33492</v>
      </c>
      <c r="DD9" s="10">
        <v>899351</v>
      </c>
      <c r="DE9" s="10">
        <v>144584</v>
      </c>
      <c r="DF9" s="10">
        <v>146602</v>
      </c>
      <c r="DG9" s="10">
        <v>49162</v>
      </c>
      <c r="DH9" s="10">
        <v>559755</v>
      </c>
      <c r="DI9" s="10">
        <v>154459</v>
      </c>
      <c r="DJ9" s="36">
        <v>98999</v>
      </c>
      <c r="DK9" s="36">
        <v>6231</v>
      </c>
      <c r="DL9" s="36">
        <v>380025</v>
      </c>
      <c r="DM9" s="36">
        <v>21121</v>
      </c>
      <c r="DN9" s="10">
        <v>26721</v>
      </c>
      <c r="DO9" s="10">
        <v>26606</v>
      </c>
      <c r="DP9" s="10">
        <v>97798</v>
      </c>
      <c r="DQ9" s="10">
        <v>69014</v>
      </c>
      <c r="DR9" s="10">
        <v>969111</v>
      </c>
      <c r="DS9" s="10">
        <v>69734</v>
      </c>
      <c r="DT9" s="10">
        <v>4482675</v>
      </c>
      <c r="DU9" s="10">
        <v>314855</v>
      </c>
      <c r="DV9" s="10">
        <v>234590</v>
      </c>
      <c r="DW9" s="10">
        <v>81092</v>
      </c>
      <c r="DX9" s="10">
        <v>894038</v>
      </c>
      <c r="DY9" s="10">
        <v>283709</v>
      </c>
      <c r="DZ9" s="10">
        <v>194406</v>
      </c>
      <c r="EA9" s="10">
        <v>27577</v>
      </c>
      <c r="EB9" s="10">
        <v>585585</v>
      </c>
      <c r="EC9" s="10">
        <v>85618</v>
      </c>
    </row>
    <row r="10" spans="1:133" x14ac:dyDescent="0.25">
      <c r="A10" s="10" t="s">
        <v>131</v>
      </c>
      <c r="B10" s="10"/>
      <c r="C10" s="10"/>
      <c r="D10" s="10"/>
      <c r="E10" s="10"/>
      <c r="F10" s="10"/>
      <c r="G10" s="10"/>
      <c r="H10" s="10"/>
      <c r="I10" s="10"/>
      <c r="J10" s="145">
        <v>3527</v>
      </c>
      <c r="K10" s="145">
        <v>230</v>
      </c>
      <c r="L10" s="145">
        <v>58553</v>
      </c>
      <c r="M10" s="145">
        <v>9676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47"/>
      <c r="AI10" s="147"/>
      <c r="AJ10" s="147"/>
      <c r="AK10" s="147"/>
      <c r="AL10" s="10"/>
      <c r="AM10" s="10"/>
      <c r="AN10" s="10"/>
      <c r="AO10" s="10"/>
      <c r="AP10" s="10"/>
      <c r="AQ10" s="10"/>
      <c r="AR10" s="10">
        <v>1</v>
      </c>
      <c r="AS10" s="10">
        <v>8.9499999999999993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>
        <v>8032</v>
      </c>
      <c r="BE10" s="10">
        <v>49</v>
      </c>
      <c r="BF10" s="10"/>
      <c r="BG10" s="10"/>
      <c r="BH10" s="10"/>
      <c r="BI10" s="10"/>
      <c r="BJ10" s="10">
        <v>24299</v>
      </c>
      <c r="BK10" s="10">
        <v>122</v>
      </c>
      <c r="BL10" s="10">
        <v>66350</v>
      </c>
      <c r="BM10" s="10">
        <v>365</v>
      </c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>
        <v>0</v>
      </c>
      <c r="CE10" s="10">
        <v>0</v>
      </c>
      <c r="CF10" s="10">
        <v>0</v>
      </c>
      <c r="CG10" s="10">
        <v>0</v>
      </c>
      <c r="CH10" s="10">
        <v>2</v>
      </c>
      <c r="CI10" s="10">
        <v>2</v>
      </c>
      <c r="CJ10" s="10"/>
      <c r="CK10" s="10"/>
      <c r="CL10" s="10"/>
      <c r="CM10" s="10"/>
      <c r="CN10" s="10"/>
      <c r="CO10" s="10"/>
      <c r="CP10" s="10">
        <v>0</v>
      </c>
      <c r="CQ10" s="10">
        <v>0</v>
      </c>
      <c r="CR10" s="10">
        <v>0</v>
      </c>
      <c r="CS10" s="10">
        <v>0</v>
      </c>
      <c r="CT10" s="10"/>
      <c r="CU10" s="10"/>
      <c r="CV10" s="10"/>
      <c r="CW10" s="10"/>
      <c r="CX10" s="10">
        <v>166</v>
      </c>
      <c r="CY10" s="10">
        <v>1278</v>
      </c>
      <c r="CZ10" s="10">
        <v>501</v>
      </c>
      <c r="DA10" s="10">
        <v>3635</v>
      </c>
      <c r="DB10" s="10">
        <v>8</v>
      </c>
      <c r="DC10" s="10"/>
      <c r="DD10" s="10">
        <v>41</v>
      </c>
      <c r="DE10" s="10">
        <v>1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>
        <v>0</v>
      </c>
      <c r="DW10" s="10">
        <v>0</v>
      </c>
      <c r="DX10" s="10">
        <v>2</v>
      </c>
      <c r="DY10" s="10">
        <v>0</v>
      </c>
      <c r="DZ10" s="10"/>
      <c r="EA10" s="10"/>
      <c r="EB10" s="10"/>
      <c r="EC10" s="10"/>
    </row>
    <row r="11" spans="1:133" x14ac:dyDescent="0.25">
      <c r="A11" s="10" t="s">
        <v>132</v>
      </c>
      <c r="B11" s="10">
        <v>109628</v>
      </c>
      <c r="C11" s="10">
        <v>5663</v>
      </c>
      <c r="D11" s="10">
        <v>526218</v>
      </c>
      <c r="E11" s="10">
        <v>28310</v>
      </c>
      <c r="F11" s="10">
        <v>24099</v>
      </c>
      <c r="G11" s="10">
        <v>3523</v>
      </c>
      <c r="H11" s="10">
        <v>61179</v>
      </c>
      <c r="I11" s="10">
        <v>9454</v>
      </c>
      <c r="J11" s="145">
        <v>3618</v>
      </c>
      <c r="K11" s="145">
        <v>223</v>
      </c>
      <c r="L11" s="145">
        <v>24796</v>
      </c>
      <c r="M11" s="145">
        <v>556</v>
      </c>
      <c r="N11" s="10">
        <v>39085</v>
      </c>
      <c r="O11" s="10">
        <v>5630</v>
      </c>
      <c r="P11" s="10">
        <v>164245</v>
      </c>
      <c r="Q11" s="10">
        <v>27996</v>
      </c>
      <c r="R11" s="7">
        <v>434195</v>
      </c>
      <c r="S11" s="10">
        <v>16309</v>
      </c>
      <c r="T11" s="10">
        <v>2486321</v>
      </c>
      <c r="U11" s="10">
        <v>320750</v>
      </c>
      <c r="V11" s="10">
        <v>132372</v>
      </c>
      <c r="W11" s="10">
        <v>21902</v>
      </c>
      <c r="X11" s="10">
        <v>603056</v>
      </c>
      <c r="Y11" s="10">
        <v>107691</v>
      </c>
      <c r="Z11" s="10">
        <v>39620</v>
      </c>
      <c r="AA11" s="10">
        <v>5556</v>
      </c>
      <c r="AB11" s="10">
        <v>179300</v>
      </c>
      <c r="AC11" s="10">
        <v>20616</v>
      </c>
      <c r="AD11" s="10">
        <v>24923</v>
      </c>
      <c r="AE11" s="10">
        <f>109+263</f>
        <v>372</v>
      </c>
      <c r="AF11" s="10">
        <f>60720+5209</f>
        <v>65929</v>
      </c>
      <c r="AG11" s="10">
        <f>748+1701</f>
        <v>2449</v>
      </c>
      <c r="AH11" s="147">
        <v>5774</v>
      </c>
      <c r="AI11" s="147">
        <v>926.04</v>
      </c>
      <c r="AJ11" s="147">
        <v>17986</v>
      </c>
      <c r="AK11" s="147">
        <v>2931.37</v>
      </c>
      <c r="AL11" s="10">
        <v>1096</v>
      </c>
      <c r="AM11" s="10">
        <v>8091.41</v>
      </c>
      <c r="AN11" s="10">
        <v>4620</v>
      </c>
      <c r="AO11" s="10">
        <v>31618.33</v>
      </c>
      <c r="AP11" s="10">
        <v>97622</v>
      </c>
      <c r="AQ11" s="10">
        <v>44168.28</v>
      </c>
      <c r="AR11" s="10">
        <v>371974</v>
      </c>
      <c r="AS11" s="10">
        <v>146044.79</v>
      </c>
      <c r="AT11" s="10">
        <v>525330</v>
      </c>
      <c r="AU11" s="10">
        <v>11884</v>
      </c>
      <c r="AV11" s="10">
        <v>2459840</v>
      </c>
      <c r="AW11" s="10">
        <v>67852</v>
      </c>
      <c r="AX11" s="10">
        <v>401553</v>
      </c>
      <c r="AY11" s="10">
        <v>73974.7</v>
      </c>
      <c r="AZ11" s="10">
        <v>2061846</v>
      </c>
      <c r="BA11" s="10">
        <v>294839.2</v>
      </c>
      <c r="BB11" s="10">
        <f>262040+171409</f>
        <v>433449</v>
      </c>
      <c r="BC11" s="10">
        <f>7470+34935</f>
        <v>42405</v>
      </c>
      <c r="BD11" s="10">
        <f>1254954+1048879</f>
        <v>2303833</v>
      </c>
      <c r="BE11" s="10">
        <f>28458+201533</f>
        <v>229991</v>
      </c>
      <c r="BF11" s="10">
        <v>104980</v>
      </c>
      <c r="BG11" s="10">
        <v>42836.33</v>
      </c>
      <c r="BH11" s="10">
        <v>496928</v>
      </c>
      <c r="BI11" s="10">
        <v>283914.40999999997</v>
      </c>
      <c r="BJ11" s="10">
        <v>374228</v>
      </c>
      <c r="BK11" s="10">
        <v>3282</v>
      </c>
      <c r="BL11" s="10">
        <v>956104</v>
      </c>
      <c r="BM11" s="10">
        <v>8992</v>
      </c>
      <c r="BN11" s="10">
        <v>293199</v>
      </c>
      <c r="BO11" s="10">
        <v>1793</v>
      </c>
      <c r="BP11" s="10">
        <v>862414</v>
      </c>
      <c r="BQ11" s="10">
        <v>6143</v>
      </c>
      <c r="BR11" s="10">
        <v>23173</v>
      </c>
      <c r="BS11" s="10">
        <v>2452</v>
      </c>
      <c r="BT11" s="10">
        <v>99520</v>
      </c>
      <c r="BU11" s="10">
        <v>7035</v>
      </c>
      <c r="BV11" s="10">
        <v>10230</v>
      </c>
      <c r="BW11" s="10">
        <v>2226</v>
      </c>
      <c r="BX11" s="10">
        <v>36359</v>
      </c>
      <c r="BY11" s="10">
        <v>8455</v>
      </c>
      <c r="BZ11" s="10">
        <v>140533</v>
      </c>
      <c r="CA11" s="10">
        <v>7437</v>
      </c>
      <c r="CB11" s="10">
        <v>205022</v>
      </c>
      <c r="CC11" s="10">
        <v>24359</v>
      </c>
      <c r="CD11" s="10">
        <v>86862</v>
      </c>
      <c r="CE11" s="10">
        <v>147320.63246130003</v>
      </c>
      <c r="CF11" s="10">
        <v>411839</v>
      </c>
      <c r="CG11" s="10">
        <v>404224.01800750004</v>
      </c>
      <c r="CH11" s="10">
        <v>4977846</v>
      </c>
      <c r="CI11" s="10">
        <v>359270</v>
      </c>
      <c r="CJ11" s="10"/>
      <c r="CK11" s="10"/>
      <c r="CL11" s="10">
        <v>191465</v>
      </c>
      <c r="CM11" s="10">
        <v>95125</v>
      </c>
      <c r="CN11" s="10">
        <v>737223</v>
      </c>
      <c r="CO11" s="10">
        <v>464214</v>
      </c>
      <c r="CP11" s="10">
        <v>7898</v>
      </c>
      <c r="CQ11" s="10">
        <v>1626.216698</v>
      </c>
      <c r="CR11" s="10">
        <v>16205</v>
      </c>
      <c r="CS11" s="10">
        <v>3740.9868889999998</v>
      </c>
      <c r="CT11" s="10">
        <v>114479</v>
      </c>
      <c r="CU11" s="10">
        <v>63797</v>
      </c>
      <c r="CV11" s="10">
        <v>648373</v>
      </c>
      <c r="CW11" s="10">
        <v>323689</v>
      </c>
      <c r="CX11" s="10">
        <v>58734</v>
      </c>
      <c r="CY11" s="10">
        <v>8877</v>
      </c>
      <c r="CZ11" s="10">
        <v>192481</v>
      </c>
      <c r="DA11" s="10">
        <v>67532</v>
      </c>
      <c r="DB11" s="10">
        <v>147921</v>
      </c>
      <c r="DC11" s="10">
        <v>29116</v>
      </c>
      <c r="DD11" s="10">
        <v>540609</v>
      </c>
      <c r="DE11" s="10">
        <v>116613</v>
      </c>
      <c r="DF11" s="10">
        <v>-931337</v>
      </c>
      <c r="DG11" s="10">
        <v>54454</v>
      </c>
      <c r="DH11" s="10">
        <v>1200274</v>
      </c>
      <c r="DI11" s="10">
        <v>263104</v>
      </c>
      <c r="DJ11" s="36">
        <v>97834</v>
      </c>
      <c r="DK11" s="36">
        <v>2751</v>
      </c>
      <c r="DL11" s="36">
        <v>481009</v>
      </c>
      <c r="DM11" s="36">
        <v>12360</v>
      </c>
      <c r="DN11" s="10">
        <v>152088</v>
      </c>
      <c r="DO11" s="10">
        <v>20467</v>
      </c>
      <c r="DP11" s="10">
        <v>511387</v>
      </c>
      <c r="DQ11" s="10">
        <v>69709</v>
      </c>
      <c r="DR11" s="10">
        <v>742745</v>
      </c>
      <c r="DS11" s="10">
        <v>17068</v>
      </c>
      <c r="DT11" s="10">
        <v>1556822</v>
      </c>
      <c r="DU11" s="10">
        <v>120023</v>
      </c>
      <c r="DV11" s="10">
        <v>194040</v>
      </c>
      <c r="DW11" s="10">
        <v>120033</v>
      </c>
      <c r="DX11" s="10">
        <v>819741</v>
      </c>
      <c r="DY11" s="10">
        <v>482195</v>
      </c>
      <c r="DZ11" s="10">
        <v>34181</v>
      </c>
      <c r="EA11" s="10">
        <v>14215</v>
      </c>
      <c r="EB11" s="10">
        <v>141262</v>
      </c>
      <c r="EC11" s="10">
        <v>153145</v>
      </c>
    </row>
    <row r="12" spans="1:133" x14ac:dyDescent="0.25">
      <c r="A12" s="10" t="s">
        <v>44</v>
      </c>
      <c r="B12" s="10">
        <f>B13-B11-B10-B9-B8-B7-B6</f>
        <v>9021</v>
      </c>
      <c r="C12" s="10">
        <f t="shared" ref="C12:BN12" si="0">C13-C11-C10-C9-C8-C7-C6</f>
        <v>475</v>
      </c>
      <c r="D12" s="10">
        <f t="shared" si="0"/>
        <v>15054</v>
      </c>
      <c r="E12" s="10">
        <f t="shared" si="0"/>
        <v>1233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1</v>
      </c>
      <c r="J12" s="145">
        <v>7544268</v>
      </c>
      <c r="K12" s="145">
        <v>164745</v>
      </c>
      <c r="L12" s="145">
        <v>29966880</v>
      </c>
      <c r="M12" s="145">
        <v>905111</v>
      </c>
      <c r="N12" s="10">
        <f t="shared" si="0"/>
        <v>12743</v>
      </c>
      <c r="O12" s="10">
        <f t="shared" si="0"/>
        <v>2009</v>
      </c>
      <c r="P12" s="10">
        <f t="shared" si="0"/>
        <v>58266</v>
      </c>
      <c r="Q12" s="10">
        <f t="shared" si="0"/>
        <v>6877</v>
      </c>
      <c r="R12" s="10">
        <f t="shared" si="0"/>
        <v>240436</v>
      </c>
      <c r="S12" s="10">
        <f t="shared" si="0"/>
        <v>6338</v>
      </c>
      <c r="T12" s="10">
        <f t="shared" si="0"/>
        <v>1266988</v>
      </c>
      <c r="U12" s="10">
        <f t="shared" si="0"/>
        <v>29334</v>
      </c>
      <c r="V12" s="10">
        <f t="shared" si="0"/>
        <v>0</v>
      </c>
      <c r="W12" s="10">
        <f t="shared" si="0"/>
        <v>1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0">
        <f t="shared" si="0"/>
        <v>-1</v>
      </c>
      <c r="AB12" s="10">
        <f t="shared" si="0"/>
        <v>0</v>
      </c>
      <c r="AC12" s="10">
        <f t="shared" si="0"/>
        <v>-1</v>
      </c>
      <c r="AD12" s="10">
        <f t="shared" si="0"/>
        <v>660</v>
      </c>
      <c r="AE12" s="10">
        <f t="shared" si="0"/>
        <v>47</v>
      </c>
      <c r="AF12" s="10">
        <f t="shared" si="0"/>
        <v>29276</v>
      </c>
      <c r="AG12" s="10">
        <f t="shared" si="0"/>
        <v>1698</v>
      </c>
      <c r="AH12" s="147">
        <v>15064</v>
      </c>
      <c r="AI12" s="147">
        <v>1495.7500000000002</v>
      </c>
      <c r="AJ12" s="147">
        <v>37561</v>
      </c>
      <c r="AK12" s="147">
        <v>3504.6600000000003</v>
      </c>
      <c r="AL12" s="10">
        <f t="shared" si="0"/>
        <v>-1199</v>
      </c>
      <c r="AM12" s="10">
        <f t="shared" si="0"/>
        <v>-10439.299999999999</v>
      </c>
      <c r="AN12" s="10">
        <f t="shared" si="0"/>
        <v>-4961</v>
      </c>
      <c r="AO12" s="10">
        <f t="shared" si="0"/>
        <v>-40513.86</v>
      </c>
      <c r="AP12" s="10">
        <f t="shared" si="0"/>
        <v>17589</v>
      </c>
      <c r="AQ12" s="10">
        <f t="shared" si="0"/>
        <v>1620.8599999999969</v>
      </c>
      <c r="AR12" s="10">
        <f t="shared" si="0"/>
        <v>77007</v>
      </c>
      <c r="AS12" s="10">
        <f t="shared" si="0"/>
        <v>6515.4699999999721</v>
      </c>
      <c r="AT12" s="10">
        <f>AT13-AT11-AT10-AT9-AT8-AT7-AT6</f>
        <v>56950</v>
      </c>
      <c r="AU12" s="10">
        <f>AU13-AU11-AU10-AU9-AU8-AU7-AU6</f>
        <v>988</v>
      </c>
      <c r="AV12" s="10">
        <f t="shared" si="0"/>
        <v>327963</v>
      </c>
      <c r="AW12" s="10">
        <f t="shared" si="0"/>
        <v>5581</v>
      </c>
      <c r="AX12" s="10">
        <f t="shared" si="0"/>
        <v>365516</v>
      </c>
      <c r="AY12" s="10">
        <f t="shared" si="0"/>
        <v>16138.000000000018</v>
      </c>
      <c r="AZ12" s="10">
        <f t="shared" si="0"/>
        <v>1883981</v>
      </c>
      <c r="BA12" s="10">
        <f t="shared" si="0"/>
        <v>57709.900000000052</v>
      </c>
      <c r="BB12" s="10">
        <f t="shared" si="0"/>
        <v>1069044</v>
      </c>
      <c r="BC12" s="10">
        <f t="shared" si="0"/>
        <v>24542</v>
      </c>
      <c r="BD12" s="10">
        <f t="shared" si="0"/>
        <v>4035616</v>
      </c>
      <c r="BE12" s="10">
        <f t="shared" si="0"/>
        <v>105841</v>
      </c>
      <c r="BF12" s="10">
        <f t="shared" si="0"/>
        <v>722954</v>
      </c>
      <c r="BG12" s="10">
        <f t="shared" si="0"/>
        <v>44156.499999999985</v>
      </c>
      <c r="BH12" s="10">
        <f t="shared" si="0"/>
        <v>2681022</v>
      </c>
      <c r="BI12" s="10">
        <f t="shared" si="0"/>
        <v>170512.17450000008</v>
      </c>
      <c r="BJ12" s="10">
        <f t="shared" si="0"/>
        <v>42222</v>
      </c>
      <c r="BK12" s="10">
        <f t="shared" si="0"/>
        <v>1444</v>
      </c>
      <c r="BL12" s="10">
        <f t="shared" si="0"/>
        <v>139396</v>
      </c>
      <c r="BM12" s="10">
        <f t="shared" si="0"/>
        <v>4266</v>
      </c>
      <c r="BN12" s="10">
        <f t="shared" si="0"/>
        <v>177054</v>
      </c>
      <c r="BO12" s="10">
        <f t="shared" ref="BO12:DV12" si="1">BO13-BO11-BO10-BO9-BO8-BO7-BO6</f>
        <v>6143</v>
      </c>
      <c r="BP12" s="10">
        <f t="shared" si="1"/>
        <v>651836</v>
      </c>
      <c r="BQ12" s="10">
        <f t="shared" si="1"/>
        <v>24201</v>
      </c>
      <c r="BR12" s="10">
        <f t="shared" si="1"/>
        <v>207291</v>
      </c>
      <c r="BS12" s="10">
        <f t="shared" si="1"/>
        <v>8874</v>
      </c>
      <c r="BT12" s="10">
        <f t="shared" si="1"/>
        <v>849888</v>
      </c>
      <c r="BU12" s="10">
        <f t="shared" si="1"/>
        <v>35528</v>
      </c>
      <c r="BV12" s="10">
        <f t="shared" si="1"/>
        <v>0</v>
      </c>
      <c r="BW12" s="10">
        <f t="shared" si="1"/>
        <v>-1</v>
      </c>
      <c r="BX12" s="10">
        <f t="shared" si="1"/>
        <v>0</v>
      </c>
      <c r="BY12" s="10">
        <f t="shared" si="1"/>
        <v>0</v>
      </c>
      <c r="BZ12" s="10">
        <f t="shared" si="1"/>
        <v>0</v>
      </c>
      <c r="CA12" s="10">
        <f t="shared" si="1"/>
        <v>0</v>
      </c>
      <c r="CB12" s="10">
        <f t="shared" si="1"/>
        <v>0</v>
      </c>
      <c r="CC12" s="10">
        <f t="shared" si="1"/>
        <v>0</v>
      </c>
      <c r="CD12" s="10">
        <f t="shared" si="1"/>
        <v>38027</v>
      </c>
      <c r="CE12" s="10">
        <f t="shared" si="1"/>
        <v>27247.325352200103</v>
      </c>
      <c r="CF12" s="10">
        <f t="shared" si="1"/>
        <v>208603</v>
      </c>
      <c r="CG12" s="10">
        <f t="shared" si="1"/>
        <v>172200.26430160005</v>
      </c>
      <c r="CH12" s="10">
        <f t="shared" si="1"/>
        <v>0</v>
      </c>
      <c r="CI12" s="10">
        <f t="shared" si="1"/>
        <v>0</v>
      </c>
      <c r="CJ12" s="10">
        <f t="shared" si="1"/>
        <v>0</v>
      </c>
      <c r="CK12" s="10">
        <f t="shared" si="1"/>
        <v>0</v>
      </c>
      <c r="CL12" s="10">
        <f t="shared" si="1"/>
        <v>272713</v>
      </c>
      <c r="CM12" s="10">
        <f t="shared" si="1"/>
        <v>9987</v>
      </c>
      <c r="CN12" s="10">
        <f t="shared" si="1"/>
        <v>879288</v>
      </c>
      <c r="CO12" s="10">
        <f t="shared" si="1"/>
        <v>38537</v>
      </c>
      <c r="CP12" s="10">
        <f t="shared" si="1"/>
        <v>0</v>
      </c>
      <c r="CQ12" s="10">
        <f t="shared" si="1"/>
        <v>3.3629999991262594E-3</v>
      </c>
      <c r="CR12" s="10">
        <f t="shared" si="1"/>
        <v>0</v>
      </c>
      <c r="CS12" s="10">
        <f t="shared" si="1"/>
        <v>0.33148699999992459</v>
      </c>
      <c r="CT12" s="10">
        <f t="shared" si="1"/>
        <v>197598</v>
      </c>
      <c r="CU12" s="10">
        <f t="shared" si="1"/>
        <v>9824</v>
      </c>
      <c r="CV12" s="10">
        <f t="shared" si="1"/>
        <v>865154</v>
      </c>
      <c r="CW12" s="10">
        <f t="shared" si="1"/>
        <v>44195</v>
      </c>
      <c r="CX12" s="10">
        <f t="shared" si="1"/>
        <v>0</v>
      </c>
      <c r="CY12" s="10">
        <f t="shared" si="1"/>
        <v>1</v>
      </c>
      <c r="CZ12" s="10">
        <f t="shared" si="1"/>
        <v>0</v>
      </c>
      <c r="DA12" s="10">
        <f t="shared" si="1"/>
        <v>0</v>
      </c>
      <c r="DB12" s="10">
        <f t="shared" si="1"/>
        <v>0</v>
      </c>
      <c r="DC12" s="10">
        <f t="shared" si="1"/>
        <v>0</v>
      </c>
      <c r="DD12" s="10">
        <f t="shared" si="1"/>
        <v>0</v>
      </c>
      <c r="DE12" s="10">
        <f t="shared" si="1"/>
        <v>0</v>
      </c>
      <c r="DF12" s="10">
        <f t="shared" si="1"/>
        <v>0</v>
      </c>
      <c r="DG12" s="10">
        <f t="shared" si="1"/>
        <v>-7.9999999987194315E-2</v>
      </c>
      <c r="DH12" s="10">
        <f t="shared" si="1"/>
        <v>0</v>
      </c>
      <c r="DI12" s="10">
        <f t="shared" si="1"/>
        <v>0</v>
      </c>
      <c r="DJ12" s="10">
        <f t="shared" si="1"/>
        <v>33692</v>
      </c>
      <c r="DK12" s="10">
        <f t="shared" si="1"/>
        <v>267</v>
      </c>
      <c r="DL12" s="10">
        <f t="shared" si="1"/>
        <v>82922</v>
      </c>
      <c r="DM12" s="10">
        <f t="shared" si="1"/>
        <v>706</v>
      </c>
      <c r="DN12" s="10">
        <f t="shared" si="1"/>
        <v>24402</v>
      </c>
      <c r="DO12" s="10">
        <f t="shared" si="1"/>
        <v>7949</v>
      </c>
      <c r="DP12" s="10">
        <f t="shared" si="1"/>
        <v>81576</v>
      </c>
      <c r="DQ12" s="10">
        <f>DQ13-DQ11-DQ10-DQ9-DQ8-DQ7-DQ6</f>
        <v>10878</v>
      </c>
      <c r="DR12" s="10">
        <f t="shared" si="1"/>
        <v>145124</v>
      </c>
      <c r="DS12" s="10">
        <f t="shared" si="1"/>
        <v>11314</v>
      </c>
      <c r="DT12" s="10">
        <f t="shared" si="1"/>
        <v>557000</v>
      </c>
      <c r="DU12" s="10">
        <f t="shared" si="1"/>
        <v>40636</v>
      </c>
      <c r="DV12" s="10">
        <f t="shared" si="1"/>
        <v>25087</v>
      </c>
      <c r="DW12" s="10">
        <f t="shared" ref="DW12:EC12" si="2">DW13-DW11-DW10-DW9-DW8-DW7-DW6</f>
        <v>75469</v>
      </c>
      <c r="DX12" s="10">
        <f t="shared" si="2"/>
        <v>135906</v>
      </c>
      <c r="DY12" s="10">
        <f t="shared" si="2"/>
        <v>113834</v>
      </c>
      <c r="DZ12" s="10">
        <f t="shared" si="2"/>
        <v>0</v>
      </c>
      <c r="EA12" s="10">
        <f t="shared" si="2"/>
        <v>0</v>
      </c>
      <c r="EB12" s="10">
        <f t="shared" si="2"/>
        <v>0</v>
      </c>
      <c r="EC12" s="10">
        <f t="shared" si="2"/>
        <v>-1</v>
      </c>
    </row>
    <row r="13" spans="1:133" s="8" customFormat="1" x14ac:dyDescent="0.25">
      <c r="A13" s="11" t="s">
        <v>133</v>
      </c>
      <c r="B13" s="11">
        <v>238492</v>
      </c>
      <c r="C13" s="11">
        <v>9398</v>
      </c>
      <c r="D13" s="11">
        <v>960743</v>
      </c>
      <c r="E13" s="11">
        <v>37307</v>
      </c>
      <c r="F13" s="11">
        <v>159607</v>
      </c>
      <c r="G13" s="11">
        <v>32630</v>
      </c>
      <c r="H13" s="11">
        <v>439205</v>
      </c>
      <c r="I13" s="11">
        <v>87204</v>
      </c>
      <c r="J13" s="146">
        <v>7540833</v>
      </c>
      <c r="K13" s="146">
        <v>162423</v>
      </c>
      <c r="L13" s="146">
        <v>32537929</v>
      </c>
      <c r="M13" s="146">
        <v>936124</v>
      </c>
      <c r="N13" s="11">
        <v>415392</v>
      </c>
      <c r="O13" s="11">
        <v>90043</v>
      </c>
      <c r="P13" s="11">
        <v>1413369</v>
      </c>
      <c r="Q13" s="11">
        <v>252166</v>
      </c>
      <c r="R13" s="11">
        <v>6247759</v>
      </c>
      <c r="S13" s="11">
        <v>264604</v>
      </c>
      <c r="T13" s="11">
        <v>26875198</v>
      </c>
      <c r="U13" s="11">
        <v>1277977</v>
      </c>
      <c r="V13" s="11">
        <v>1321098</v>
      </c>
      <c r="W13" s="11">
        <v>73029</v>
      </c>
      <c r="X13" s="11">
        <v>5215323</v>
      </c>
      <c r="Y13" s="11">
        <v>313424</v>
      </c>
      <c r="Z13" s="11">
        <v>1261518</v>
      </c>
      <c r="AA13" s="11">
        <v>112593</v>
      </c>
      <c r="AB13" s="11">
        <v>4576942</v>
      </c>
      <c r="AC13" s="11">
        <v>439849</v>
      </c>
      <c r="AD13" s="11">
        <v>77093</v>
      </c>
      <c r="AE13" s="11">
        <v>2504</v>
      </c>
      <c r="AF13" s="11">
        <v>481658</v>
      </c>
      <c r="AG13" s="11">
        <v>15799</v>
      </c>
      <c r="AH13" s="148">
        <v>36756</v>
      </c>
      <c r="AI13" s="148">
        <v>5492.52</v>
      </c>
      <c r="AJ13" s="148">
        <v>85159</v>
      </c>
      <c r="AK13" s="148">
        <v>14636.05</v>
      </c>
      <c r="AL13" s="11"/>
      <c r="AM13" s="11"/>
      <c r="AN13" s="11"/>
      <c r="AO13" s="11"/>
      <c r="AP13" s="11">
        <v>665443</v>
      </c>
      <c r="AQ13" s="11">
        <v>101135.64</v>
      </c>
      <c r="AR13" s="11">
        <v>2371489</v>
      </c>
      <c r="AS13" s="11">
        <v>341707.42</v>
      </c>
      <c r="AT13" s="11">
        <v>1152617</v>
      </c>
      <c r="AU13" s="11">
        <v>30367</v>
      </c>
      <c r="AV13" s="11">
        <v>5151681</v>
      </c>
      <c r="AW13" s="11">
        <v>176786</v>
      </c>
      <c r="AX13" s="11">
        <v>2368574</v>
      </c>
      <c r="AY13" s="11">
        <v>236367.1</v>
      </c>
      <c r="AZ13" s="11">
        <v>10263905</v>
      </c>
      <c r="BA13" s="11">
        <v>930839.7</v>
      </c>
      <c r="BB13" s="11">
        <v>5625395</v>
      </c>
      <c r="BC13" s="11">
        <v>318056</v>
      </c>
      <c r="BD13" s="11">
        <v>26222039</v>
      </c>
      <c r="BE13" s="11">
        <v>1331284</v>
      </c>
      <c r="BF13" s="11">
        <v>2064936</v>
      </c>
      <c r="BG13" s="11">
        <v>175895.74</v>
      </c>
      <c r="BH13" s="11">
        <v>7852174</v>
      </c>
      <c r="BI13" s="11">
        <v>796104.14450000005</v>
      </c>
      <c r="BJ13" s="11">
        <v>613695</v>
      </c>
      <c r="BK13" s="11">
        <v>12651</v>
      </c>
      <c r="BL13" s="11">
        <v>1813381</v>
      </c>
      <c r="BM13" s="11">
        <v>43339</v>
      </c>
      <c r="BN13" s="11">
        <v>920368</v>
      </c>
      <c r="BO13" s="11">
        <v>40614</v>
      </c>
      <c r="BP13" s="11">
        <v>3128972</v>
      </c>
      <c r="BQ13" s="11">
        <v>153137</v>
      </c>
      <c r="BR13" s="11">
        <v>406574</v>
      </c>
      <c r="BS13" s="11">
        <v>33943</v>
      </c>
      <c r="BT13" s="11">
        <v>1622879</v>
      </c>
      <c r="BU13" s="11">
        <v>122477</v>
      </c>
      <c r="BV13" s="11">
        <v>73249</v>
      </c>
      <c r="BW13" s="11">
        <v>16081</v>
      </c>
      <c r="BX13" s="11">
        <v>246489</v>
      </c>
      <c r="BY13" s="11">
        <v>57619</v>
      </c>
      <c r="BZ13" s="11">
        <v>653119</v>
      </c>
      <c r="CA13" s="11">
        <v>40936</v>
      </c>
      <c r="CB13" s="11">
        <v>905066</v>
      </c>
      <c r="CC13" s="11">
        <v>124289</v>
      </c>
      <c r="CD13" s="11">
        <v>3577566</v>
      </c>
      <c r="CE13" s="11">
        <v>413373.0789317005</v>
      </c>
      <c r="CF13" s="11">
        <v>14544499</v>
      </c>
      <c r="CG13" s="11">
        <v>1526221.5804671003</v>
      </c>
      <c r="CH13" s="11">
        <v>8139609</v>
      </c>
      <c r="CI13" s="11">
        <v>696643</v>
      </c>
      <c r="CJ13" s="11"/>
      <c r="CK13" s="11"/>
      <c r="CL13" s="11">
        <v>2244324</v>
      </c>
      <c r="CM13" s="11">
        <v>359347</v>
      </c>
      <c r="CN13" s="11">
        <v>9684443</v>
      </c>
      <c r="CO13" s="11">
        <v>1366315</v>
      </c>
      <c r="CP13" s="11">
        <v>32202</v>
      </c>
      <c r="CQ13" s="11">
        <v>6582.23</v>
      </c>
      <c r="CR13" s="11">
        <v>69204</v>
      </c>
      <c r="CS13" s="11">
        <v>17968</v>
      </c>
      <c r="CT13" s="11">
        <v>1262320</v>
      </c>
      <c r="CU13" s="11">
        <v>144900</v>
      </c>
      <c r="CV13" s="11">
        <v>5875346</v>
      </c>
      <c r="CW13" s="11">
        <v>746504</v>
      </c>
      <c r="CX13" s="11">
        <v>399143</v>
      </c>
      <c r="CY13" s="11">
        <v>63750</v>
      </c>
      <c r="CZ13" s="11">
        <v>1104069</v>
      </c>
      <c r="DA13" s="11">
        <v>238899</v>
      </c>
      <c r="DB13" s="11">
        <v>592691</v>
      </c>
      <c r="DC13" s="11">
        <v>89133</v>
      </c>
      <c r="DD13" s="11">
        <v>2061015</v>
      </c>
      <c r="DE13" s="11">
        <v>366696</v>
      </c>
      <c r="DF13" s="11">
        <v>499624</v>
      </c>
      <c r="DG13" s="11">
        <v>194562.92</v>
      </c>
      <c r="DH13" s="11">
        <v>5795580</v>
      </c>
      <c r="DI13" s="11">
        <v>679353</v>
      </c>
      <c r="DJ13" s="37">
        <v>883791</v>
      </c>
      <c r="DK13" s="11">
        <v>66978</v>
      </c>
      <c r="DL13" s="11">
        <v>3454842</v>
      </c>
      <c r="DM13" s="11">
        <v>246618</v>
      </c>
      <c r="DN13" s="11">
        <v>1662762</v>
      </c>
      <c r="DO13" s="11">
        <v>250168</v>
      </c>
      <c r="DP13" s="11">
        <v>5058691</v>
      </c>
      <c r="DQ13" s="11">
        <v>686514</v>
      </c>
      <c r="DR13" s="11">
        <v>2947262</v>
      </c>
      <c r="DS13" s="11">
        <v>169628</v>
      </c>
      <c r="DT13" s="11">
        <v>11093063</v>
      </c>
      <c r="DU13" s="11">
        <v>738453</v>
      </c>
      <c r="DV13" s="11">
        <v>3951103</v>
      </c>
      <c r="DW13" s="11">
        <v>498127</v>
      </c>
      <c r="DX13" s="11">
        <v>16508340</v>
      </c>
      <c r="DY13" s="11">
        <v>1751509</v>
      </c>
      <c r="DZ13" s="11">
        <v>409630</v>
      </c>
      <c r="EA13" s="11">
        <v>54972</v>
      </c>
      <c r="EB13" s="11">
        <v>1418641</v>
      </c>
      <c r="EC13" s="11">
        <v>285905</v>
      </c>
    </row>
    <row r="14" spans="1:133" x14ac:dyDescent="0.25">
      <c r="A14" s="10" t="s">
        <v>134</v>
      </c>
      <c r="B14" s="10"/>
      <c r="C14" s="10"/>
      <c r="D14" s="10"/>
      <c r="E14" s="10"/>
      <c r="F14" s="10"/>
      <c r="G14" s="10"/>
      <c r="H14" s="10"/>
      <c r="I14" s="10"/>
      <c r="J14" s="145"/>
      <c r="K14" s="145"/>
      <c r="L14" s="145"/>
      <c r="M14" s="145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47"/>
      <c r="AI14" s="147"/>
      <c r="AJ14" s="147"/>
      <c r="AK14" s="147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</row>
    <row r="15" spans="1:133" s="8" customFormat="1" x14ac:dyDescent="0.25">
      <c r="A15" s="11" t="s">
        <v>135</v>
      </c>
      <c r="B15" s="11">
        <f>B13+B14</f>
        <v>238492</v>
      </c>
      <c r="C15" s="11">
        <f t="shared" ref="C15:BN15" si="3">C13+C14</f>
        <v>9398</v>
      </c>
      <c r="D15" s="11">
        <f t="shared" si="3"/>
        <v>960743</v>
      </c>
      <c r="E15" s="11">
        <f t="shared" si="3"/>
        <v>37307</v>
      </c>
      <c r="F15" s="11">
        <f t="shared" si="3"/>
        <v>159607</v>
      </c>
      <c r="G15" s="11">
        <f t="shared" si="3"/>
        <v>32630</v>
      </c>
      <c r="H15" s="11">
        <f t="shared" si="3"/>
        <v>439205</v>
      </c>
      <c r="I15" s="11">
        <f t="shared" si="3"/>
        <v>87204</v>
      </c>
      <c r="J15" s="146">
        <v>7540833</v>
      </c>
      <c r="K15" s="146">
        <v>162423</v>
      </c>
      <c r="L15" s="146">
        <v>32537929</v>
      </c>
      <c r="M15" s="146">
        <v>936124</v>
      </c>
      <c r="N15" s="11">
        <f t="shared" si="3"/>
        <v>415392</v>
      </c>
      <c r="O15" s="11">
        <f t="shared" si="3"/>
        <v>90043</v>
      </c>
      <c r="P15" s="11">
        <f t="shared" si="3"/>
        <v>1413369</v>
      </c>
      <c r="Q15" s="11">
        <f t="shared" si="3"/>
        <v>252166</v>
      </c>
      <c r="R15" s="11">
        <f t="shared" si="3"/>
        <v>6247759</v>
      </c>
      <c r="S15" s="11">
        <f t="shared" si="3"/>
        <v>264604</v>
      </c>
      <c r="T15" s="11">
        <f t="shared" si="3"/>
        <v>26875198</v>
      </c>
      <c r="U15" s="11">
        <f t="shared" si="3"/>
        <v>1277977</v>
      </c>
      <c r="V15" s="11">
        <f t="shared" si="3"/>
        <v>1321098</v>
      </c>
      <c r="W15" s="11">
        <f t="shared" si="3"/>
        <v>73029</v>
      </c>
      <c r="X15" s="11">
        <f t="shared" si="3"/>
        <v>5215323</v>
      </c>
      <c r="Y15" s="11">
        <f t="shared" si="3"/>
        <v>313424</v>
      </c>
      <c r="Z15" s="11">
        <f t="shared" si="3"/>
        <v>1261518</v>
      </c>
      <c r="AA15" s="11">
        <f t="shared" si="3"/>
        <v>112593</v>
      </c>
      <c r="AB15" s="11">
        <f t="shared" si="3"/>
        <v>4576942</v>
      </c>
      <c r="AC15" s="11">
        <f t="shared" si="3"/>
        <v>439849</v>
      </c>
      <c r="AD15" s="11">
        <f t="shared" si="3"/>
        <v>77093</v>
      </c>
      <c r="AE15" s="11">
        <f t="shared" si="3"/>
        <v>2504</v>
      </c>
      <c r="AF15" s="11">
        <f t="shared" si="3"/>
        <v>481658</v>
      </c>
      <c r="AG15" s="11">
        <f t="shared" si="3"/>
        <v>15799</v>
      </c>
      <c r="AH15" s="148">
        <v>36756</v>
      </c>
      <c r="AI15" s="148">
        <v>5492.52</v>
      </c>
      <c r="AJ15" s="148">
        <v>85159</v>
      </c>
      <c r="AK15" s="148">
        <v>14636.05</v>
      </c>
      <c r="AL15" s="11">
        <v>1199</v>
      </c>
      <c r="AM15" s="11">
        <v>10439.299999999999</v>
      </c>
      <c r="AN15" s="11">
        <v>4961</v>
      </c>
      <c r="AO15" s="11">
        <v>40513.86</v>
      </c>
      <c r="AP15" s="11">
        <f t="shared" si="3"/>
        <v>665443</v>
      </c>
      <c r="AQ15" s="11">
        <f t="shared" si="3"/>
        <v>101135.64</v>
      </c>
      <c r="AR15" s="11">
        <f t="shared" si="3"/>
        <v>2371489</v>
      </c>
      <c r="AS15" s="11">
        <f t="shared" si="3"/>
        <v>341707.42</v>
      </c>
      <c r="AT15" s="11">
        <f t="shared" si="3"/>
        <v>1152617</v>
      </c>
      <c r="AU15" s="11">
        <f t="shared" si="3"/>
        <v>30367</v>
      </c>
      <c r="AV15" s="11">
        <f t="shared" si="3"/>
        <v>5151681</v>
      </c>
      <c r="AW15" s="11">
        <f t="shared" si="3"/>
        <v>176786</v>
      </c>
      <c r="AX15" s="11">
        <f t="shared" si="3"/>
        <v>2368574</v>
      </c>
      <c r="AY15" s="11">
        <f t="shared" si="3"/>
        <v>236367.1</v>
      </c>
      <c r="AZ15" s="11">
        <f t="shared" si="3"/>
        <v>10263905</v>
      </c>
      <c r="BA15" s="11">
        <f t="shared" si="3"/>
        <v>930839.7</v>
      </c>
      <c r="BB15" s="11">
        <f t="shared" si="3"/>
        <v>5625395</v>
      </c>
      <c r="BC15" s="11">
        <f t="shared" si="3"/>
        <v>318056</v>
      </c>
      <c r="BD15" s="11">
        <f t="shared" si="3"/>
        <v>26222039</v>
      </c>
      <c r="BE15" s="11">
        <f t="shared" si="3"/>
        <v>1331284</v>
      </c>
      <c r="BF15" s="11">
        <f t="shared" si="3"/>
        <v>2064936</v>
      </c>
      <c r="BG15" s="11">
        <f t="shared" si="3"/>
        <v>175895.74</v>
      </c>
      <c r="BH15" s="11">
        <f t="shared" si="3"/>
        <v>7852174</v>
      </c>
      <c r="BI15" s="11">
        <f t="shared" si="3"/>
        <v>796104.14450000005</v>
      </c>
      <c r="BJ15" s="11">
        <f t="shared" si="3"/>
        <v>613695</v>
      </c>
      <c r="BK15" s="11">
        <f t="shared" si="3"/>
        <v>12651</v>
      </c>
      <c r="BL15" s="11">
        <f t="shared" si="3"/>
        <v>1813381</v>
      </c>
      <c r="BM15" s="11">
        <f t="shared" si="3"/>
        <v>43339</v>
      </c>
      <c r="BN15" s="11">
        <f t="shared" si="3"/>
        <v>920368</v>
      </c>
      <c r="BO15" s="11">
        <f t="shared" ref="BO15:DV15" si="4">BO13+BO14</f>
        <v>40614</v>
      </c>
      <c r="BP15" s="11">
        <f t="shared" si="4"/>
        <v>3128972</v>
      </c>
      <c r="BQ15" s="11">
        <f t="shared" si="4"/>
        <v>153137</v>
      </c>
      <c r="BR15" s="11">
        <f t="shared" si="4"/>
        <v>406574</v>
      </c>
      <c r="BS15" s="11">
        <f t="shared" si="4"/>
        <v>33943</v>
      </c>
      <c r="BT15" s="11">
        <f t="shared" si="4"/>
        <v>1622879</v>
      </c>
      <c r="BU15" s="11">
        <f t="shared" si="4"/>
        <v>122477</v>
      </c>
      <c r="BV15" s="11">
        <f t="shared" si="4"/>
        <v>73249</v>
      </c>
      <c r="BW15" s="11">
        <f t="shared" si="4"/>
        <v>16081</v>
      </c>
      <c r="BX15" s="11">
        <f t="shared" si="4"/>
        <v>246489</v>
      </c>
      <c r="BY15" s="11">
        <f t="shared" si="4"/>
        <v>57619</v>
      </c>
      <c r="BZ15" s="11">
        <f t="shared" si="4"/>
        <v>653119</v>
      </c>
      <c r="CA15" s="11">
        <f t="shared" si="4"/>
        <v>40936</v>
      </c>
      <c r="CB15" s="11">
        <f t="shared" si="4"/>
        <v>905066</v>
      </c>
      <c r="CC15" s="11">
        <f t="shared" si="4"/>
        <v>124289</v>
      </c>
      <c r="CD15" s="11">
        <f t="shared" si="4"/>
        <v>3577566</v>
      </c>
      <c r="CE15" s="11">
        <f t="shared" si="4"/>
        <v>413373.0789317005</v>
      </c>
      <c r="CF15" s="11">
        <f t="shared" si="4"/>
        <v>14544499</v>
      </c>
      <c r="CG15" s="11">
        <f t="shared" si="4"/>
        <v>1526221.5804671003</v>
      </c>
      <c r="CH15" s="11">
        <f t="shared" si="4"/>
        <v>8139609</v>
      </c>
      <c r="CI15" s="11">
        <f t="shared" si="4"/>
        <v>696643</v>
      </c>
      <c r="CJ15" s="11">
        <f t="shared" si="4"/>
        <v>0</v>
      </c>
      <c r="CK15" s="11">
        <f t="shared" si="4"/>
        <v>0</v>
      </c>
      <c r="CL15" s="11">
        <f t="shared" si="4"/>
        <v>2244324</v>
      </c>
      <c r="CM15" s="11">
        <f t="shared" si="4"/>
        <v>359347</v>
      </c>
      <c r="CN15" s="11">
        <f t="shared" si="4"/>
        <v>9684443</v>
      </c>
      <c r="CO15" s="11">
        <f t="shared" si="4"/>
        <v>1366315</v>
      </c>
      <c r="CP15" s="11">
        <f t="shared" si="4"/>
        <v>32202</v>
      </c>
      <c r="CQ15" s="11">
        <f t="shared" si="4"/>
        <v>6582.23</v>
      </c>
      <c r="CR15" s="11">
        <f t="shared" si="4"/>
        <v>69204</v>
      </c>
      <c r="CS15" s="11">
        <f t="shared" si="4"/>
        <v>17968</v>
      </c>
      <c r="CT15" s="11">
        <f t="shared" si="4"/>
        <v>1262320</v>
      </c>
      <c r="CU15" s="11">
        <f t="shared" si="4"/>
        <v>144900</v>
      </c>
      <c r="CV15" s="11">
        <f t="shared" si="4"/>
        <v>5875346</v>
      </c>
      <c r="CW15" s="11">
        <f t="shared" si="4"/>
        <v>746504</v>
      </c>
      <c r="CX15" s="11">
        <f t="shared" si="4"/>
        <v>399143</v>
      </c>
      <c r="CY15" s="11">
        <f t="shared" si="4"/>
        <v>63750</v>
      </c>
      <c r="CZ15" s="11">
        <f t="shared" si="4"/>
        <v>1104069</v>
      </c>
      <c r="DA15" s="11">
        <f t="shared" si="4"/>
        <v>238899</v>
      </c>
      <c r="DB15" s="11">
        <f t="shared" si="4"/>
        <v>592691</v>
      </c>
      <c r="DC15" s="11">
        <f t="shared" si="4"/>
        <v>89133</v>
      </c>
      <c r="DD15" s="11">
        <f t="shared" si="4"/>
        <v>2061015</v>
      </c>
      <c r="DE15" s="11">
        <f t="shared" si="4"/>
        <v>366696</v>
      </c>
      <c r="DF15" s="11">
        <f t="shared" si="4"/>
        <v>499624</v>
      </c>
      <c r="DG15" s="11">
        <f t="shared" si="4"/>
        <v>194562.92</v>
      </c>
      <c r="DH15" s="11">
        <f t="shared" si="4"/>
        <v>5795580</v>
      </c>
      <c r="DI15" s="11">
        <f t="shared" si="4"/>
        <v>679353</v>
      </c>
      <c r="DJ15" s="11">
        <f t="shared" si="4"/>
        <v>883791</v>
      </c>
      <c r="DK15" s="11">
        <f t="shared" si="4"/>
        <v>66978</v>
      </c>
      <c r="DL15" s="11">
        <f t="shared" si="4"/>
        <v>3454842</v>
      </c>
      <c r="DM15" s="11">
        <f t="shared" si="4"/>
        <v>246618</v>
      </c>
      <c r="DN15" s="11">
        <f t="shared" si="4"/>
        <v>1662762</v>
      </c>
      <c r="DO15" s="11">
        <f t="shared" si="4"/>
        <v>250168</v>
      </c>
      <c r="DP15" s="11">
        <f t="shared" si="4"/>
        <v>5058691</v>
      </c>
      <c r="DQ15" s="11">
        <f t="shared" si="4"/>
        <v>686514</v>
      </c>
      <c r="DR15" s="11">
        <f t="shared" si="4"/>
        <v>2947262</v>
      </c>
      <c r="DS15" s="11">
        <f t="shared" si="4"/>
        <v>169628</v>
      </c>
      <c r="DT15" s="11">
        <f t="shared" si="4"/>
        <v>11093063</v>
      </c>
      <c r="DU15" s="11">
        <f t="shared" si="4"/>
        <v>738453</v>
      </c>
      <c r="DV15" s="11">
        <f t="shared" si="4"/>
        <v>3951103</v>
      </c>
      <c r="DW15" s="11">
        <f t="shared" ref="DW15:EC15" si="5">DW13+DW14</f>
        <v>498127</v>
      </c>
      <c r="DX15" s="11">
        <f t="shared" si="5"/>
        <v>16508340</v>
      </c>
      <c r="DY15" s="11">
        <f t="shared" si="5"/>
        <v>1751509</v>
      </c>
      <c r="DZ15" s="11">
        <f t="shared" si="5"/>
        <v>409630</v>
      </c>
      <c r="EA15" s="11">
        <f t="shared" si="5"/>
        <v>54972</v>
      </c>
      <c r="EB15" s="11">
        <f t="shared" si="5"/>
        <v>1418641</v>
      </c>
      <c r="EC15" s="11">
        <f t="shared" si="5"/>
        <v>285905</v>
      </c>
    </row>
  </sheetData>
  <mergeCells count="99">
    <mergeCell ref="CR4:CS4"/>
    <mergeCell ref="CX4:CY4"/>
    <mergeCell ref="CZ4:DA4"/>
    <mergeCell ref="CH4:CI4"/>
    <mergeCell ref="CJ4:CK4"/>
    <mergeCell ref="CL4:CM4"/>
    <mergeCell ref="CN4:CO4"/>
    <mergeCell ref="CP4:CQ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DN3:DQ3"/>
    <mergeCell ref="DR3:DU3"/>
    <mergeCell ref="DV3:DY3"/>
    <mergeCell ref="DZ3:EC3"/>
    <mergeCell ref="DZ4:EA4"/>
    <mergeCell ref="EB4:EC4"/>
    <mergeCell ref="DX4:DY4"/>
    <mergeCell ref="DV4:DW4"/>
    <mergeCell ref="DP4:DQ4"/>
    <mergeCell ref="DR4:DS4"/>
    <mergeCell ref="DT4:DU4"/>
    <mergeCell ref="DN4:DO4"/>
    <mergeCell ref="DJ4:DK4"/>
    <mergeCell ref="DL4:DM4"/>
    <mergeCell ref="CT3:CW3"/>
    <mergeCell ref="CT4:CU4"/>
    <mergeCell ref="CV4:CW4"/>
    <mergeCell ref="CX3:DA3"/>
    <mergeCell ref="DB3:DE3"/>
    <mergeCell ref="DF3:DI3"/>
    <mergeCell ref="DB4:DC4"/>
    <mergeCell ref="DD4:DE4"/>
    <mergeCell ref="DF4:DG4"/>
    <mergeCell ref="DH4:DI4"/>
    <mergeCell ref="B3:E3"/>
    <mergeCell ref="F3:I3"/>
    <mergeCell ref="J3:M3"/>
    <mergeCell ref="N3:Q3"/>
    <mergeCell ref="R3:U3"/>
    <mergeCell ref="V4:W4"/>
    <mergeCell ref="V3:Y3"/>
    <mergeCell ref="X4:Y4"/>
    <mergeCell ref="AP3:AS3"/>
    <mergeCell ref="AT3:AW3"/>
    <mergeCell ref="AJ4:AK4"/>
    <mergeCell ref="AL4:AM4"/>
    <mergeCell ref="AN4:AO4"/>
    <mergeCell ref="AP4:AQ4"/>
    <mergeCell ref="AR4:AS4"/>
    <mergeCell ref="Z4:AA4"/>
    <mergeCell ref="AB4:AC4"/>
    <mergeCell ref="AD4:AE4"/>
    <mergeCell ref="Z3:AC3"/>
    <mergeCell ref="AF4:AG4"/>
    <mergeCell ref="AH4:AI4"/>
    <mergeCell ref="AD3:AG3"/>
    <mergeCell ref="AH3:AK3"/>
    <mergeCell ref="AL3:AO3"/>
    <mergeCell ref="DJ3:DM3"/>
    <mergeCell ref="CD3:CG3"/>
    <mergeCell ref="CH3:CK3"/>
    <mergeCell ref="CL3:CO3"/>
    <mergeCell ref="CP3:CS3"/>
    <mergeCell ref="AX3:BA3"/>
    <mergeCell ref="BB3:BE3"/>
    <mergeCell ref="BF3:BI3"/>
    <mergeCell ref="BJ3:BM3"/>
    <mergeCell ref="BN3:BQ3"/>
    <mergeCell ref="BR3:BU3"/>
    <mergeCell ref="BV3:BY3"/>
    <mergeCell ref="BZ3:C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67" width="16" style="7" customWidth="1"/>
    <col min="68" max="69" width="16" style="44" customWidth="1"/>
    <col min="70" max="16384" width="9.140625" style="7"/>
  </cols>
  <sheetData>
    <row r="1" spans="1:69" ht="18.75" x14ac:dyDescent="0.3">
      <c r="A1" s="17" t="s">
        <v>292</v>
      </c>
    </row>
    <row r="2" spans="1:69" x14ac:dyDescent="0.25">
      <c r="A2" s="6" t="s">
        <v>46</v>
      </c>
    </row>
    <row r="3" spans="1:69" x14ac:dyDescent="0.25">
      <c r="A3" s="3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295</v>
      </c>
      <c r="I3" s="112"/>
      <c r="J3" s="111" t="s">
        <v>5</v>
      </c>
      <c r="K3" s="112"/>
      <c r="L3" s="111" t="s">
        <v>6</v>
      </c>
      <c r="M3" s="112"/>
      <c r="N3" s="111" t="s">
        <v>7</v>
      </c>
      <c r="O3" s="112"/>
      <c r="P3" s="111" t="s">
        <v>309</v>
      </c>
      <c r="Q3" s="112"/>
      <c r="R3" s="111" t="s">
        <v>9</v>
      </c>
      <c r="S3" s="112"/>
      <c r="T3" s="111" t="s">
        <v>10</v>
      </c>
      <c r="U3" s="112"/>
      <c r="V3" s="111" t="s">
        <v>11</v>
      </c>
      <c r="W3" s="112"/>
      <c r="X3" s="111" t="s">
        <v>12</v>
      </c>
      <c r="Y3" s="112"/>
      <c r="Z3" s="111" t="s">
        <v>13</v>
      </c>
      <c r="AA3" s="112"/>
      <c r="AB3" s="111" t="s">
        <v>14</v>
      </c>
      <c r="AC3" s="112"/>
      <c r="AD3" s="111" t="s">
        <v>15</v>
      </c>
      <c r="AE3" s="112"/>
      <c r="AF3" s="111" t="s">
        <v>16</v>
      </c>
      <c r="AG3" s="112"/>
      <c r="AH3" s="111" t="s">
        <v>17</v>
      </c>
      <c r="AI3" s="112"/>
      <c r="AJ3" s="111" t="s">
        <v>18</v>
      </c>
      <c r="AK3" s="112"/>
      <c r="AL3" s="111" t="s">
        <v>293</v>
      </c>
      <c r="AM3" s="112"/>
      <c r="AN3" s="111" t="s">
        <v>19</v>
      </c>
      <c r="AO3" s="112"/>
      <c r="AP3" s="111" t="s">
        <v>20</v>
      </c>
      <c r="AQ3" s="112"/>
      <c r="AR3" s="111" t="s">
        <v>21</v>
      </c>
      <c r="AS3" s="112"/>
      <c r="AT3" s="111" t="s">
        <v>22</v>
      </c>
      <c r="AU3" s="112"/>
      <c r="AV3" s="111" t="s">
        <v>23</v>
      </c>
      <c r="AW3" s="112"/>
      <c r="AX3" s="111" t="s">
        <v>24</v>
      </c>
      <c r="AY3" s="112"/>
      <c r="AZ3" s="111" t="s">
        <v>25</v>
      </c>
      <c r="BA3" s="112"/>
      <c r="BB3" s="111" t="s">
        <v>26</v>
      </c>
      <c r="BC3" s="112"/>
      <c r="BD3" s="111" t="s">
        <v>27</v>
      </c>
      <c r="BE3" s="112"/>
      <c r="BF3" s="111" t="s">
        <v>28</v>
      </c>
      <c r="BG3" s="112"/>
      <c r="BH3" s="111" t="s">
        <v>29</v>
      </c>
      <c r="BI3" s="112"/>
      <c r="BJ3" s="111" t="s">
        <v>30</v>
      </c>
      <c r="BK3" s="112"/>
      <c r="BL3" s="115" t="s">
        <v>31</v>
      </c>
      <c r="BM3" s="116"/>
      <c r="BN3" s="111" t="s">
        <v>32</v>
      </c>
      <c r="BO3" s="112"/>
      <c r="BP3" s="113" t="s">
        <v>33</v>
      </c>
      <c r="BQ3" s="114"/>
    </row>
    <row r="4" spans="1:69" ht="30" x14ac:dyDescent="0.25">
      <c r="A4" s="3"/>
      <c r="B4" s="66" t="s">
        <v>298</v>
      </c>
      <c r="C4" s="67" t="s">
        <v>299</v>
      </c>
      <c r="D4" s="66" t="s">
        <v>298</v>
      </c>
      <c r="E4" s="67" t="s">
        <v>299</v>
      </c>
      <c r="F4" s="66" t="s">
        <v>298</v>
      </c>
      <c r="G4" s="67" t="s">
        <v>299</v>
      </c>
      <c r="H4" s="66" t="s">
        <v>298</v>
      </c>
      <c r="I4" s="67" t="s">
        <v>299</v>
      </c>
      <c r="J4" s="66" t="s">
        <v>298</v>
      </c>
      <c r="K4" s="67" t="s">
        <v>299</v>
      </c>
      <c r="L4" s="66" t="s">
        <v>298</v>
      </c>
      <c r="M4" s="67" t="s">
        <v>299</v>
      </c>
      <c r="N4" s="66" t="s">
        <v>298</v>
      </c>
      <c r="O4" s="67" t="s">
        <v>299</v>
      </c>
      <c r="P4" s="66" t="s">
        <v>298</v>
      </c>
      <c r="Q4" s="67" t="s">
        <v>299</v>
      </c>
      <c r="R4" s="66" t="s">
        <v>298</v>
      </c>
      <c r="S4" s="67" t="s">
        <v>299</v>
      </c>
      <c r="T4" s="66" t="s">
        <v>298</v>
      </c>
      <c r="U4" s="67" t="s">
        <v>299</v>
      </c>
      <c r="V4" s="66" t="s">
        <v>298</v>
      </c>
      <c r="W4" s="67" t="s">
        <v>299</v>
      </c>
      <c r="X4" s="66" t="s">
        <v>298</v>
      </c>
      <c r="Y4" s="67" t="s">
        <v>299</v>
      </c>
      <c r="Z4" s="66" t="s">
        <v>298</v>
      </c>
      <c r="AA4" s="67" t="s">
        <v>299</v>
      </c>
      <c r="AB4" s="66" t="s">
        <v>298</v>
      </c>
      <c r="AC4" s="67" t="s">
        <v>299</v>
      </c>
      <c r="AD4" s="66" t="s">
        <v>298</v>
      </c>
      <c r="AE4" s="67" t="s">
        <v>299</v>
      </c>
      <c r="AF4" s="66" t="s">
        <v>298</v>
      </c>
      <c r="AG4" s="67" t="s">
        <v>299</v>
      </c>
      <c r="AH4" s="66" t="s">
        <v>298</v>
      </c>
      <c r="AI4" s="67" t="s">
        <v>299</v>
      </c>
      <c r="AJ4" s="66" t="s">
        <v>298</v>
      </c>
      <c r="AK4" s="67" t="s">
        <v>299</v>
      </c>
      <c r="AL4" s="66" t="s">
        <v>298</v>
      </c>
      <c r="AM4" s="67" t="s">
        <v>299</v>
      </c>
      <c r="AN4" s="66" t="s">
        <v>298</v>
      </c>
      <c r="AO4" s="67" t="s">
        <v>299</v>
      </c>
      <c r="AP4" s="66" t="s">
        <v>298</v>
      </c>
      <c r="AQ4" s="67" t="s">
        <v>299</v>
      </c>
      <c r="AR4" s="66" t="s">
        <v>298</v>
      </c>
      <c r="AS4" s="67" t="s">
        <v>299</v>
      </c>
      <c r="AT4" s="66" t="s">
        <v>298</v>
      </c>
      <c r="AU4" s="67" t="s">
        <v>299</v>
      </c>
      <c r="AV4" s="66" t="s">
        <v>298</v>
      </c>
      <c r="AW4" s="67" t="s">
        <v>299</v>
      </c>
      <c r="AX4" s="66" t="s">
        <v>298</v>
      </c>
      <c r="AY4" s="67" t="s">
        <v>299</v>
      </c>
      <c r="AZ4" s="66" t="s">
        <v>298</v>
      </c>
      <c r="BA4" s="67" t="s">
        <v>299</v>
      </c>
      <c r="BB4" s="66" t="s">
        <v>298</v>
      </c>
      <c r="BC4" s="67" t="s">
        <v>299</v>
      </c>
      <c r="BD4" s="66" t="s">
        <v>298</v>
      </c>
      <c r="BE4" s="67" t="s">
        <v>299</v>
      </c>
      <c r="BF4" s="66" t="s">
        <v>298</v>
      </c>
      <c r="BG4" s="67" t="s">
        <v>299</v>
      </c>
      <c r="BH4" s="66" t="s">
        <v>298</v>
      </c>
      <c r="BI4" s="67" t="s">
        <v>299</v>
      </c>
      <c r="BJ4" s="66" t="s">
        <v>298</v>
      </c>
      <c r="BK4" s="67" t="s">
        <v>299</v>
      </c>
      <c r="BL4" s="66" t="s">
        <v>298</v>
      </c>
      <c r="BM4" s="67" t="s">
        <v>299</v>
      </c>
      <c r="BN4" s="66" t="s">
        <v>298</v>
      </c>
      <c r="BO4" s="67" t="s">
        <v>299</v>
      </c>
      <c r="BP4" s="66" t="s">
        <v>298</v>
      </c>
      <c r="BQ4" s="67" t="s">
        <v>299</v>
      </c>
    </row>
    <row r="5" spans="1:69" x14ac:dyDescent="0.25">
      <c r="A5" s="3" t="s">
        <v>265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80"/>
      <c r="BQ5" s="80"/>
    </row>
    <row r="6" spans="1:69" x14ac:dyDescent="0.25">
      <c r="A6" s="2" t="s">
        <v>266</v>
      </c>
      <c r="B6" s="10"/>
      <c r="C6" s="10"/>
      <c r="D6" s="10"/>
      <c r="E6" s="10"/>
      <c r="F6" s="10"/>
      <c r="G6" s="10"/>
      <c r="H6" s="10"/>
      <c r="I6" s="10"/>
      <c r="J6" s="10">
        <v>-30414</v>
      </c>
      <c r="K6" s="10">
        <v>336864</v>
      </c>
      <c r="L6" s="10">
        <v>-15582</v>
      </c>
      <c r="M6" s="10">
        <v>118043</v>
      </c>
      <c r="N6" s="10">
        <v>399221</v>
      </c>
      <c r="O6" s="10">
        <v>710039</v>
      </c>
      <c r="P6" s="10">
        <v>2202</v>
      </c>
      <c r="Q6" s="10">
        <v>241347</v>
      </c>
      <c r="R6" s="10">
        <v>-1000</v>
      </c>
      <c r="S6" s="10">
        <v>-14189</v>
      </c>
      <c r="T6" s="10"/>
      <c r="U6" s="10"/>
      <c r="V6" s="10">
        <v>83072</v>
      </c>
      <c r="W6" s="10">
        <v>94400</v>
      </c>
      <c r="X6" s="10">
        <v>21848</v>
      </c>
      <c r="Y6" s="10">
        <v>59129</v>
      </c>
      <c r="Z6" s="10">
        <v>141415</v>
      </c>
      <c r="AA6" s="10">
        <v>-444974</v>
      </c>
      <c r="AB6" s="10">
        <v>377072</v>
      </c>
      <c r="AC6" s="10">
        <v>951423</v>
      </c>
      <c r="AD6" s="10">
        <v>383566</v>
      </c>
      <c r="AE6" s="10">
        <v>831799</v>
      </c>
      <c r="AF6" s="10">
        <v>-12080</v>
      </c>
      <c r="AG6" s="10">
        <v>-76762</v>
      </c>
      <c r="AH6" s="10">
        <v>42668</v>
      </c>
      <c r="AI6" s="10">
        <v>67656</v>
      </c>
      <c r="AJ6" s="10">
        <v>-74896</v>
      </c>
      <c r="AK6" s="10">
        <v>-277223</v>
      </c>
      <c r="AL6" s="10"/>
      <c r="AM6" s="10"/>
      <c r="AN6" s="10"/>
      <c r="AO6" s="10"/>
      <c r="AP6" s="155">
        <v>-406805</v>
      </c>
      <c r="AQ6" s="155">
        <v>-151117</v>
      </c>
      <c r="AR6" s="10">
        <v>1465148</v>
      </c>
      <c r="AS6" s="10">
        <v>3417064</v>
      </c>
      <c r="AT6" s="10">
        <v>-194228</v>
      </c>
      <c r="AU6" s="10">
        <v>2409</v>
      </c>
      <c r="AV6" s="10">
        <v>3040</v>
      </c>
      <c r="AW6" s="10">
        <v>5611</v>
      </c>
      <c r="AX6" s="10">
        <v>365285</v>
      </c>
      <c r="AY6" s="10">
        <v>1287003</v>
      </c>
      <c r="AZ6" s="10"/>
      <c r="BA6" s="10"/>
      <c r="BB6" s="10">
        <v>55761</v>
      </c>
      <c r="BC6" s="10">
        <v>120488</v>
      </c>
      <c r="BD6" s="10">
        <v>1062307</v>
      </c>
      <c r="BE6" s="10">
        <v>3139577</v>
      </c>
      <c r="BF6" s="36">
        <v>74334</v>
      </c>
      <c r="BG6" s="36">
        <v>198935</v>
      </c>
      <c r="BH6" s="10"/>
      <c r="BI6" s="10"/>
      <c r="BJ6" s="10">
        <v>-200425</v>
      </c>
      <c r="BK6" s="10">
        <v>340737</v>
      </c>
      <c r="BL6" s="10">
        <v>-223502</v>
      </c>
      <c r="BM6" s="10">
        <v>-3907341</v>
      </c>
      <c r="BN6" s="10">
        <v>129279</v>
      </c>
      <c r="BO6" s="10">
        <v>320949</v>
      </c>
      <c r="BP6" s="81">
        <f>B6+D6+F6+H6+J6+L6+N6+P6+R6+T6+V6+X6+Z6+AB6+AD6+AF6+AH6+AJ6+AL6+AN6+AP6+AR6+AT6+AV6+AX6+AZ6+BB6+BD6+BF6+BH6+BJ6+BL6+BN6</f>
        <v>3447286</v>
      </c>
      <c r="BQ6" s="81">
        <f>C6+E6+G6+I6+K6+M6+O6+Q6+S6+U6+W6+Y6+AA6+AC6+AE6+AG6+AI6+AK6+AM6+AO6+AQ6+AS6+AU6+AW6+AY6+BA6+BC6+BE6+BG6+BI6+BK6+BM6+BO6</f>
        <v>7371867</v>
      </c>
    </row>
    <row r="7" spans="1:69" x14ac:dyDescent="0.25">
      <c r="A7" s="2" t="s">
        <v>267</v>
      </c>
      <c r="B7" s="10"/>
      <c r="C7" s="10"/>
      <c r="D7" s="10"/>
      <c r="E7" s="10"/>
      <c r="F7" s="10"/>
      <c r="G7" s="10"/>
      <c r="H7" s="10"/>
      <c r="I7" s="10"/>
      <c r="J7" s="10">
        <v>118704</v>
      </c>
      <c r="K7" s="10">
        <v>135293</v>
      </c>
      <c r="L7" s="10">
        <v>-6748</v>
      </c>
      <c r="M7" s="10">
        <v>-258136</v>
      </c>
      <c r="N7" s="10">
        <v>30918</v>
      </c>
      <c r="O7" s="10">
        <v>63305</v>
      </c>
      <c r="P7" s="10"/>
      <c r="Q7" s="69"/>
      <c r="R7" s="69">
        <v>215</v>
      </c>
      <c r="S7" s="69">
        <v>-1556</v>
      </c>
      <c r="T7" s="69"/>
      <c r="U7" s="69"/>
      <c r="V7" s="69">
        <v>83622</v>
      </c>
      <c r="W7" s="69">
        <v>101896</v>
      </c>
      <c r="X7" s="69">
        <v>-1098</v>
      </c>
      <c r="Y7" s="69">
        <v>-85</v>
      </c>
      <c r="Z7" s="69">
        <v>32979</v>
      </c>
      <c r="AA7" s="69">
        <v>-178508</v>
      </c>
      <c r="AB7" s="69">
        <v>114048</v>
      </c>
      <c r="AC7" s="69">
        <v>354672</v>
      </c>
      <c r="AD7" s="69">
        <v>91972</v>
      </c>
      <c r="AE7" s="69">
        <v>227805</v>
      </c>
      <c r="AF7" s="69"/>
      <c r="AG7" s="69"/>
      <c r="AH7" s="69">
        <v>19088</v>
      </c>
      <c r="AI7" s="69">
        <v>47069</v>
      </c>
      <c r="AJ7" s="69">
        <v>-30568</v>
      </c>
      <c r="AK7" s="10">
        <v>-41044</v>
      </c>
      <c r="AL7" s="10"/>
      <c r="AM7" s="10"/>
      <c r="AN7" s="10"/>
      <c r="AO7" s="10"/>
      <c r="AP7" s="155">
        <v>218069</v>
      </c>
      <c r="AQ7" s="155">
        <v>498761</v>
      </c>
      <c r="AR7" s="10">
        <v>-86424</v>
      </c>
      <c r="AS7" s="10">
        <v>858412</v>
      </c>
      <c r="AT7" s="10">
        <v>381552</v>
      </c>
      <c r="AU7" s="10">
        <v>13646</v>
      </c>
      <c r="AV7" s="10">
        <v>102</v>
      </c>
      <c r="AW7" s="10">
        <v>298</v>
      </c>
      <c r="AX7" s="10">
        <v>49395</v>
      </c>
      <c r="AY7" s="10">
        <v>14920</v>
      </c>
      <c r="AZ7" s="10"/>
      <c r="BA7" s="10"/>
      <c r="BB7" s="10">
        <v>12952</v>
      </c>
      <c r="BC7" s="10">
        <v>32369</v>
      </c>
      <c r="BD7" s="10">
        <v>41797</v>
      </c>
      <c r="BE7" s="10">
        <v>-4662</v>
      </c>
      <c r="BF7" s="36">
        <v>8177</v>
      </c>
      <c r="BG7" s="36">
        <v>12648</v>
      </c>
      <c r="BH7" s="10"/>
      <c r="BI7" s="10"/>
      <c r="BJ7" s="10">
        <v>126196</v>
      </c>
      <c r="BK7" s="10">
        <v>282084</v>
      </c>
      <c r="BL7" s="10">
        <v>-46992</v>
      </c>
      <c r="BM7" s="10">
        <v>373610</v>
      </c>
      <c r="BN7" s="10">
        <v>19058</v>
      </c>
      <c r="BO7" s="10">
        <v>34898</v>
      </c>
      <c r="BP7" s="81">
        <f t="shared" ref="BP7:BP8" si="0">B7+D7+F7+H7+J7+L7+N7+P7+R7+T7+V7+X7+Z7+AB7+AD7+AF7+AH7+AJ7+AL7+AN7+AP7+AR7+AT7+AV7+AX7+AZ7+BB7+BD7+BF7+BH7+BJ7+BL7+BN7</f>
        <v>1177014</v>
      </c>
      <c r="BQ7" s="81">
        <f t="shared" ref="BQ7:BQ8" si="1">C7+E7+G7+I7+K7+M7+O7+Q7+S7+U7+W7+Y7+AA7+AC7+AE7+AG7+AI7+AK7+AM7+AO7+AQ7+AS7+AU7+AW7+AY7+BA7+BC7+BE7+BG7+BI7+BK7+BM7+BO7</f>
        <v>2567695</v>
      </c>
    </row>
    <row r="8" spans="1:69" x14ac:dyDescent="0.25">
      <c r="A8" s="2" t="s">
        <v>268</v>
      </c>
      <c r="B8" s="10">
        <v>-329571</v>
      </c>
      <c r="C8" s="10">
        <v>-1980097</v>
      </c>
      <c r="D8" s="10">
        <v>-617856</v>
      </c>
      <c r="E8" s="10">
        <v>-2482486</v>
      </c>
      <c r="F8" s="10">
        <v>334875</v>
      </c>
      <c r="G8" s="10">
        <v>1239015</v>
      </c>
      <c r="H8" s="10">
        <v>2770297</v>
      </c>
      <c r="I8" s="10">
        <v>-12657</v>
      </c>
      <c r="J8" s="10">
        <v>4599358</v>
      </c>
      <c r="K8" s="10">
        <v>11958748</v>
      </c>
      <c r="L8" s="10">
        <v>2053668</v>
      </c>
      <c r="M8" s="10">
        <v>1188497</v>
      </c>
      <c r="N8" s="10">
        <v>2595472</v>
      </c>
      <c r="O8" s="10">
        <v>4616851</v>
      </c>
      <c r="P8" s="10">
        <v>-240880</v>
      </c>
      <c r="Q8" s="10">
        <v>-723264</v>
      </c>
      <c r="R8" s="10">
        <v>-370574</v>
      </c>
      <c r="S8" s="10">
        <v>-961436</v>
      </c>
      <c r="T8" s="10">
        <v>-2448468.9500000002</v>
      </c>
      <c r="U8" s="10">
        <v>869107.7</v>
      </c>
      <c r="V8" s="10">
        <v>1906098</v>
      </c>
      <c r="W8" s="10">
        <v>3001912</v>
      </c>
      <c r="X8" s="10">
        <v>-404912</v>
      </c>
      <c r="Y8" s="10">
        <v>-2328514</v>
      </c>
      <c r="Z8" s="10">
        <v>2086506</v>
      </c>
      <c r="AA8" s="10">
        <v>6159605</v>
      </c>
      <c r="AB8" s="10">
        <v>4267007</v>
      </c>
      <c r="AC8" s="10">
        <v>14134757</v>
      </c>
      <c r="AD8" s="10">
        <v>-75557</v>
      </c>
      <c r="AE8" s="10">
        <v>486143</v>
      </c>
      <c r="AF8" s="10">
        <v>-89504</v>
      </c>
      <c r="AG8" s="10">
        <v>-304292</v>
      </c>
      <c r="AH8" s="10">
        <v>1057659</v>
      </c>
      <c r="AI8" s="10">
        <v>-445316</v>
      </c>
      <c r="AJ8" s="10">
        <v>100371</v>
      </c>
      <c r="AK8" s="10">
        <v>396147</v>
      </c>
      <c r="AL8" s="10">
        <v>1222644</v>
      </c>
      <c r="AM8" s="10">
        <v>236276</v>
      </c>
      <c r="AN8" s="10">
        <v>980705</v>
      </c>
      <c r="AO8" s="10">
        <v>1171579</v>
      </c>
      <c r="AP8" s="155">
        <v>-6473966</v>
      </c>
      <c r="AQ8" s="155">
        <v>-28221776</v>
      </c>
      <c r="AR8" s="10">
        <v>-2785748</v>
      </c>
      <c r="AS8" s="10">
        <v>-145906</v>
      </c>
      <c r="AT8" s="10">
        <v>-7711216</v>
      </c>
      <c r="AU8" s="10">
        <v>-13843574</v>
      </c>
      <c r="AV8" s="10">
        <v>-115367</v>
      </c>
      <c r="AW8" s="10">
        <v>-113838</v>
      </c>
      <c r="AX8" s="10">
        <v>1704022</v>
      </c>
      <c r="AY8" s="10">
        <v>3008679</v>
      </c>
      <c r="AZ8" s="10">
        <v>2346008</v>
      </c>
      <c r="BA8" s="10">
        <v>2562054</v>
      </c>
      <c r="BB8" s="10">
        <v>3672965</v>
      </c>
      <c r="BC8" s="10">
        <v>499539</v>
      </c>
      <c r="BD8" s="10">
        <v>559318</v>
      </c>
      <c r="BE8" s="10">
        <v>1614360</v>
      </c>
      <c r="BF8" s="36">
        <v>2737905</v>
      </c>
      <c r="BG8" s="36">
        <v>8868369</v>
      </c>
      <c r="BH8" s="10">
        <v>5646357</v>
      </c>
      <c r="BI8" s="10">
        <v>3302972</v>
      </c>
      <c r="BJ8" s="10">
        <v>237760</v>
      </c>
      <c r="BK8" s="10">
        <v>2532957</v>
      </c>
      <c r="BL8" s="10">
        <v>-1349063</v>
      </c>
      <c r="BM8" s="10">
        <v>-12496000</v>
      </c>
      <c r="BN8" s="10">
        <v>636891</v>
      </c>
      <c r="BO8" s="10">
        <v>1187044</v>
      </c>
      <c r="BP8" s="81">
        <f t="shared" si="0"/>
        <v>18503203.050000001</v>
      </c>
      <c r="BQ8" s="81">
        <f t="shared" si="1"/>
        <v>4975455.700000003</v>
      </c>
    </row>
    <row r="9" spans="1:69" x14ac:dyDescent="0.25">
      <c r="A9" s="3" t="s">
        <v>269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81"/>
      <c r="BQ9" s="81"/>
    </row>
    <row r="10" spans="1:69" x14ac:dyDescent="0.25">
      <c r="A10" s="2" t="s">
        <v>270</v>
      </c>
      <c r="B10" s="10">
        <v>54398</v>
      </c>
      <c r="C10" s="10">
        <v>110661</v>
      </c>
      <c r="D10" s="10">
        <v>46978</v>
      </c>
      <c r="E10" s="10">
        <v>156175</v>
      </c>
      <c r="F10" s="10">
        <v>484234</v>
      </c>
      <c r="G10" s="10">
        <v>1287985</v>
      </c>
      <c r="H10" s="10">
        <v>83787</v>
      </c>
      <c r="I10" s="10">
        <v>265408</v>
      </c>
      <c r="J10" s="10">
        <v>605994</v>
      </c>
      <c r="K10" s="10">
        <v>2554135</v>
      </c>
      <c r="L10" s="10">
        <v>158630</v>
      </c>
      <c r="M10" s="10">
        <v>466645</v>
      </c>
      <c r="N10" s="10">
        <v>-109321</v>
      </c>
      <c r="O10" s="10">
        <v>463498</v>
      </c>
      <c r="P10" s="10">
        <v>7396</v>
      </c>
      <c r="Q10" s="10">
        <v>25289</v>
      </c>
      <c r="R10" s="10">
        <v>19517</v>
      </c>
      <c r="S10" s="10">
        <v>104288</v>
      </c>
      <c r="T10" s="10">
        <v>893304.82</v>
      </c>
      <c r="U10" s="10">
        <v>3414479.79</v>
      </c>
      <c r="V10" s="10">
        <v>162354</v>
      </c>
      <c r="W10" s="10">
        <f>557169+3653</f>
        <v>560822</v>
      </c>
      <c r="X10" s="10">
        <v>101294</v>
      </c>
      <c r="Y10" s="10">
        <v>522559</v>
      </c>
      <c r="Z10" s="10">
        <v>145230</v>
      </c>
      <c r="AA10" s="10">
        <v>1284157</v>
      </c>
      <c r="AB10" s="10">
        <v>964990</v>
      </c>
      <c r="AC10" s="10">
        <v>3894712</v>
      </c>
      <c r="AD10" s="10">
        <v>445210</v>
      </c>
      <c r="AE10" s="10">
        <v>1641102</v>
      </c>
      <c r="AF10" s="10">
        <v>22378</v>
      </c>
      <c r="AG10" s="10">
        <v>96093</v>
      </c>
      <c r="AH10" s="10">
        <v>75314</v>
      </c>
      <c r="AI10" s="10">
        <v>414748</v>
      </c>
      <c r="AJ10" s="10">
        <v>51023</v>
      </c>
      <c r="AK10" s="10">
        <v>172218</v>
      </c>
      <c r="AL10" s="10">
        <v>30205</v>
      </c>
      <c r="AM10" s="10">
        <v>126608</v>
      </c>
      <c r="AN10" s="10">
        <v>107185</v>
      </c>
      <c r="AO10" s="10">
        <v>263482</v>
      </c>
      <c r="AP10" s="155">
        <v>44193</v>
      </c>
      <c r="AQ10" s="155">
        <v>154701</v>
      </c>
      <c r="AR10" s="10">
        <v>2858536</v>
      </c>
      <c r="AS10" s="10">
        <v>11463898</v>
      </c>
      <c r="AT10" s="10">
        <v>-473716</v>
      </c>
      <c r="AU10" s="10">
        <v>149097</v>
      </c>
      <c r="AV10" s="10">
        <v>8235</v>
      </c>
      <c r="AW10" s="10">
        <v>84199</v>
      </c>
      <c r="AX10" s="10">
        <v>248150</v>
      </c>
      <c r="AY10" s="10">
        <v>1039416</v>
      </c>
      <c r="AZ10" s="10">
        <v>66734</v>
      </c>
      <c r="BA10" s="10">
        <v>219060</v>
      </c>
      <c r="BB10" s="10">
        <v>181182</v>
      </c>
      <c r="BC10" s="10">
        <v>742217</v>
      </c>
      <c r="BD10" s="10">
        <v>344056</v>
      </c>
      <c r="BE10" s="10">
        <v>1178432</v>
      </c>
      <c r="BF10" s="36">
        <v>205170</v>
      </c>
      <c r="BG10" s="36">
        <v>1049151</v>
      </c>
      <c r="BH10" s="10">
        <v>400132</v>
      </c>
      <c r="BI10" s="10">
        <v>1211759</v>
      </c>
      <c r="BJ10" s="10">
        <v>416441</v>
      </c>
      <c r="BK10" s="10">
        <v>1666108</v>
      </c>
      <c r="BL10" s="10">
        <v>304762</v>
      </c>
      <c r="BM10" s="10">
        <v>1248787</v>
      </c>
      <c r="BN10" s="10">
        <v>289592</v>
      </c>
      <c r="BO10" s="10">
        <v>531753</v>
      </c>
      <c r="BP10" s="81">
        <f t="shared" ref="BP10:BP16" si="2">B10+D10+F10+H10+J10+L10+N10+P10+R10+T10+V10+X10+Z10+AB10+AD10+AF10+AH10+AJ10+AL10+AN10+AP10+AR10+AT10+AV10+AX10+AZ10+BB10+BD10+BF10+BH10+BJ10+BL10+BN10</f>
        <v>9243567.8200000003</v>
      </c>
      <c r="BQ10" s="81">
        <f t="shared" ref="BQ10:BQ16" si="3">C10+E10+G10+I10+K10+M10+O10+Q10+S10+U10+W10+Y10+AA10+AC10+AE10+AG10+AI10+AK10+AM10+AO10+AQ10+AS10+AU10+AW10+AY10+BA10+BC10+BE10+BG10+BI10+BK10+BM10+BO10</f>
        <v>38563642.789999999</v>
      </c>
    </row>
    <row r="11" spans="1:69" x14ac:dyDescent="0.25">
      <c r="A11" s="2" t="s">
        <v>271</v>
      </c>
      <c r="B11" s="10">
        <v>9002</v>
      </c>
      <c r="C11" s="10">
        <v>36490</v>
      </c>
      <c r="D11" s="10">
        <v>10719</v>
      </c>
      <c r="E11" s="10">
        <v>23977</v>
      </c>
      <c r="F11" s="10">
        <v>13429</v>
      </c>
      <c r="G11" s="10">
        <v>13429</v>
      </c>
      <c r="H11" s="10">
        <v>6715</v>
      </c>
      <c r="I11" s="10">
        <v>13399</v>
      </c>
      <c r="J11" s="10">
        <v>3293</v>
      </c>
      <c r="K11" s="10">
        <v>1188341</v>
      </c>
      <c r="L11" s="10">
        <v>21856</v>
      </c>
      <c r="M11" s="10">
        <v>85699</v>
      </c>
      <c r="N11" s="10">
        <v>-9895</v>
      </c>
      <c r="O11" s="10">
        <v>142792</v>
      </c>
      <c r="P11" s="10">
        <v>595</v>
      </c>
      <c r="Q11" s="10">
        <v>1323</v>
      </c>
      <c r="R11" s="10">
        <v>10471</v>
      </c>
      <c r="S11" s="10">
        <v>53349</v>
      </c>
      <c r="T11" s="10">
        <v>12657.82</v>
      </c>
      <c r="U11" s="10">
        <v>281694.23</v>
      </c>
      <c r="V11" s="10">
        <v>51501</v>
      </c>
      <c r="W11" s="10">
        <v>68054</v>
      </c>
      <c r="X11" s="10">
        <v>4534</v>
      </c>
      <c r="Y11" s="10">
        <f>-1399+22446</f>
        <v>21047</v>
      </c>
      <c r="Z11" s="10">
        <v>45205</v>
      </c>
      <c r="AA11" s="10">
        <v>122848</v>
      </c>
      <c r="AB11" s="10">
        <v>232885</v>
      </c>
      <c r="AC11" s="10">
        <v>1113490</v>
      </c>
      <c r="AD11" s="10">
        <v>15865</v>
      </c>
      <c r="AE11" s="10">
        <v>99026</v>
      </c>
      <c r="AF11" s="10">
        <v>-773</v>
      </c>
      <c r="AG11" s="10">
        <v>26607</v>
      </c>
      <c r="AH11" s="10">
        <v>-4504</v>
      </c>
      <c r="AI11" s="10">
        <v>9389</v>
      </c>
      <c r="AJ11" s="10">
        <v>15910</v>
      </c>
      <c r="AK11" s="10">
        <v>70847</v>
      </c>
      <c r="AL11" s="10">
        <v>1503</v>
      </c>
      <c r="AM11" s="10">
        <v>49320</v>
      </c>
      <c r="AN11" s="10">
        <v>10508</v>
      </c>
      <c r="AO11" s="10">
        <v>20247</v>
      </c>
      <c r="AP11" s="155">
        <v>7943</v>
      </c>
      <c r="AQ11" s="155">
        <v>46278</v>
      </c>
      <c r="AR11" s="10">
        <v>2072201</v>
      </c>
      <c r="AS11" s="10">
        <v>11774919</v>
      </c>
      <c r="AT11" s="10">
        <v>-634090</v>
      </c>
      <c r="AU11" s="10">
        <v>180477</v>
      </c>
      <c r="AV11" s="10">
        <v>770</v>
      </c>
      <c r="AW11" s="10">
        <v>4746</v>
      </c>
      <c r="AX11" s="10">
        <v>68205</v>
      </c>
      <c r="AY11" s="10">
        <v>223953</v>
      </c>
      <c r="AZ11" s="10">
        <v>2878</v>
      </c>
      <c r="BA11" s="10">
        <v>3104</v>
      </c>
      <c r="BB11" s="10">
        <v>19870</v>
      </c>
      <c r="BC11" s="10">
        <v>89082</v>
      </c>
      <c r="BD11" s="10">
        <v>117472</v>
      </c>
      <c r="BE11" s="10">
        <v>384592</v>
      </c>
      <c r="BF11" s="36">
        <v>304504</v>
      </c>
      <c r="BG11" s="36">
        <v>306592</v>
      </c>
      <c r="BH11" s="10">
        <v>2164</v>
      </c>
      <c r="BI11" s="10">
        <v>27417</v>
      </c>
      <c r="BJ11" s="10">
        <v>122810</v>
      </c>
      <c r="BK11" s="10">
        <v>394725</v>
      </c>
      <c r="BL11" s="10">
        <v>252518</v>
      </c>
      <c r="BM11" s="10">
        <v>787246</v>
      </c>
      <c r="BN11" s="10">
        <v>16994</v>
      </c>
      <c r="BO11" s="10">
        <v>37399</v>
      </c>
      <c r="BP11" s="81">
        <f t="shared" si="2"/>
        <v>2805715.82</v>
      </c>
      <c r="BQ11" s="81">
        <f t="shared" si="3"/>
        <v>17701898.23</v>
      </c>
    </row>
    <row r="12" spans="1:69" x14ac:dyDescent="0.25">
      <c r="A12" s="2" t="s">
        <v>272</v>
      </c>
      <c r="B12" s="10">
        <v>-105</v>
      </c>
      <c r="C12" s="10">
        <v>-4156</v>
      </c>
      <c r="D12" s="10"/>
      <c r="E12" s="10"/>
      <c r="F12" s="10"/>
      <c r="G12" s="10"/>
      <c r="H12" s="10"/>
      <c r="I12" s="10"/>
      <c r="J12" s="10">
        <v>-27919</v>
      </c>
      <c r="K12" s="10">
        <v>-201049</v>
      </c>
      <c r="L12" s="10"/>
      <c r="M12" s="10"/>
      <c r="N12" s="10"/>
      <c r="O12" s="10"/>
      <c r="P12" s="10"/>
      <c r="Q12" s="10"/>
      <c r="R12" s="10">
        <v>-29786</v>
      </c>
      <c r="S12" s="10">
        <v>-36165</v>
      </c>
      <c r="T12" s="10">
        <v>-365.75</v>
      </c>
      <c r="U12" s="10">
        <v>-101703.96</v>
      </c>
      <c r="V12" s="10">
        <v>-1103</v>
      </c>
      <c r="W12" s="10">
        <v>-3541</v>
      </c>
      <c r="X12" s="10"/>
      <c r="Y12" s="10"/>
      <c r="Z12" s="10"/>
      <c r="AA12" s="10"/>
      <c r="AB12" s="10">
        <v>-21291</v>
      </c>
      <c r="AC12" s="10">
        <v>-363755</v>
      </c>
      <c r="AD12" s="10"/>
      <c r="AE12" s="10"/>
      <c r="AF12" s="10">
        <v>-1658</v>
      </c>
      <c r="AG12" s="10">
        <v>-7996</v>
      </c>
      <c r="AH12" s="10"/>
      <c r="AI12" s="10"/>
      <c r="AJ12" s="10">
        <v>-17</v>
      </c>
      <c r="AK12" s="10">
        <v>-724</v>
      </c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>
        <v>-564</v>
      </c>
      <c r="AW12" s="10">
        <v>-582</v>
      </c>
      <c r="AX12" s="10">
        <v>-2802</v>
      </c>
      <c r="AY12" s="10">
        <v>-12984</v>
      </c>
      <c r="AZ12" s="10"/>
      <c r="BA12" s="10"/>
      <c r="BB12" s="10">
        <v>361</v>
      </c>
      <c r="BC12" s="10">
        <v>-14611</v>
      </c>
      <c r="BD12" s="10">
        <v>-266100</v>
      </c>
      <c r="BE12" s="10">
        <v>-401985</v>
      </c>
      <c r="BF12" s="10"/>
      <c r="BG12" s="10"/>
      <c r="BH12" s="10"/>
      <c r="BI12" s="10"/>
      <c r="BJ12" s="10">
        <v>-202159</v>
      </c>
      <c r="BK12" s="10">
        <v>-237741</v>
      </c>
      <c r="BL12" s="10"/>
      <c r="BM12" s="10"/>
      <c r="BN12" s="10">
        <v>-25913</v>
      </c>
      <c r="BO12" s="10">
        <v>-41366</v>
      </c>
      <c r="BP12" s="81">
        <f t="shared" si="2"/>
        <v>-579421.75</v>
      </c>
      <c r="BQ12" s="81">
        <f t="shared" si="3"/>
        <v>-1428358.96</v>
      </c>
    </row>
    <row r="13" spans="1:69" ht="15" customHeight="1" x14ac:dyDescent="0.25">
      <c r="A13" s="2" t="s">
        <v>273</v>
      </c>
      <c r="B13" s="10"/>
      <c r="C13" s="10"/>
      <c r="D13" s="10">
        <v>-3573</v>
      </c>
      <c r="E13" s="10">
        <v>-7595</v>
      </c>
      <c r="F13" s="10">
        <v>20658</v>
      </c>
      <c r="G13" s="10">
        <v>56986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81">
        <f t="shared" si="2"/>
        <v>17085</v>
      </c>
      <c r="BQ13" s="81">
        <f t="shared" si="3"/>
        <v>49391</v>
      </c>
    </row>
    <row r="14" spans="1:69" x14ac:dyDescent="0.25">
      <c r="A14" s="10" t="s">
        <v>274</v>
      </c>
      <c r="B14" s="10"/>
      <c r="C14" s="10"/>
      <c r="D14" s="10"/>
      <c r="E14" s="10"/>
      <c r="F14" s="10"/>
      <c r="G14" s="10"/>
      <c r="H14" s="10">
        <v>-2530</v>
      </c>
      <c r="I14" s="10">
        <v>-3521</v>
      </c>
      <c r="J14" s="10">
        <v>-65732</v>
      </c>
      <c r="K14" s="10">
        <v>-135064</v>
      </c>
      <c r="L14" s="10">
        <v>-2133</v>
      </c>
      <c r="M14" s="10">
        <v>-6089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v>-1354</v>
      </c>
      <c r="AO14" s="10">
        <v>-2989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>
        <v>-5094</v>
      </c>
      <c r="BG14" s="10">
        <v>-22956</v>
      </c>
      <c r="BH14" s="10"/>
      <c r="BI14" s="10"/>
      <c r="BJ14" s="10"/>
      <c r="BK14" s="10"/>
      <c r="BL14" s="10"/>
      <c r="BM14" s="10"/>
      <c r="BN14" s="10">
        <v>-14889</v>
      </c>
      <c r="BO14" s="10">
        <v>-23408</v>
      </c>
      <c r="BP14" s="81">
        <f t="shared" si="2"/>
        <v>-91732</v>
      </c>
      <c r="BQ14" s="81">
        <f t="shared" si="3"/>
        <v>-194027</v>
      </c>
    </row>
    <row r="15" spans="1:69" x14ac:dyDescent="0.25">
      <c r="A15" s="3" t="s">
        <v>275</v>
      </c>
      <c r="B15" s="10">
        <f>B16-B14-B13-B12-B11-B10-B8-B7-B6</f>
        <v>16</v>
      </c>
      <c r="C15" s="10">
        <f t="shared" ref="C15:AI15" si="4">C16-C14-C13-C12-C11-C10-C8-C7-C6</f>
        <v>16</v>
      </c>
      <c r="D15" s="10">
        <f t="shared" si="4"/>
        <v>0</v>
      </c>
      <c r="E15" s="10">
        <f t="shared" si="4"/>
        <v>0</v>
      </c>
      <c r="F15" s="10">
        <f t="shared" si="4"/>
        <v>47378</v>
      </c>
      <c r="G15" s="10">
        <f t="shared" si="4"/>
        <v>95051</v>
      </c>
      <c r="H15" s="10">
        <f t="shared" si="4"/>
        <v>543</v>
      </c>
      <c r="I15" s="10">
        <f t="shared" si="4"/>
        <v>12989</v>
      </c>
      <c r="J15" s="10">
        <f t="shared" si="4"/>
        <v>1</v>
      </c>
      <c r="K15" s="10">
        <f t="shared" si="4"/>
        <v>83335</v>
      </c>
      <c r="L15" s="10">
        <f t="shared" si="4"/>
        <v>1</v>
      </c>
      <c r="M15" s="10">
        <f t="shared" si="4"/>
        <v>-1</v>
      </c>
      <c r="N15" s="10">
        <f t="shared" si="4"/>
        <v>0</v>
      </c>
      <c r="O15" s="10">
        <f t="shared" si="4"/>
        <v>0</v>
      </c>
      <c r="P15" s="10">
        <f t="shared" si="4"/>
        <v>21</v>
      </c>
      <c r="Q15" s="10">
        <f t="shared" si="4"/>
        <v>80</v>
      </c>
      <c r="R15" s="10">
        <f t="shared" si="4"/>
        <v>0</v>
      </c>
      <c r="S15" s="10">
        <f t="shared" si="4"/>
        <v>26</v>
      </c>
      <c r="T15" s="10">
        <f t="shared" si="4"/>
        <v>12120.010000000242</v>
      </c>
      <c r="U15" s="10">
        <f t="shared" si="4"/>
        <v>42118.23000000068</v>
      </c>
      <c r="V15" s="10">
        <f t="shared" si="4"/>
        <v>-5</v>
      </c>
      <c r="W15" s="10">
        <f t="shared" si="4"/>
        <v>1</v>
      </c>
      <c r="X15" s="10">
        <f t="shared" si="4"/>
        <v>9</v>
      </c>
      <c r="Y15" s="10">
        <f t="shared" si="4"/>
        <v>33</v>
      </c>
      <c r="Z15" s="10">
        <f t="shared" si="4"/>
        <v>0</v>
      </c>
      <c r="AA15" s="10">
        <f t="shared" si="4"/>
        <v>0</v>
      </c>
      <c r="AB15" s="10">
        <f t="shared" si="4"/>
        <v>1111</v>
      </c>
      <c r="AC15" s="10">
        <f t="shared" si="4"/>
        <v>155688</v>
      </c>
      <c r="AD15" s="10">
        <f t="shared" si="4"/>
        <v>26347</v>
      </c>
      <c r="AE15" s="10">
        <f t="shared" si="4"/>
        <v>64659</v>
      </c>
      <c r="AF15" s="10">
        <f t="shared" si="4"/>
        <v>216</v>
      </c>
      <c r="AG15" s="10">
        <f t="shared" si="4"/>
        <v>-541</v>
      </c>
      <c r="AH15" s="10">
        <f t="shared" si="4"/>
        <v>-1</v>
      </c>
      <c r="AI15" s="10">
        <f t="shared" si="4"/>
        <v>0</v>
      </c>
      <c r="AJ15" s="10">
        <f t="shared" ref="AJ15:BO15" si="5">AJ16-AJ14-AJ13-AJ12-AJ11-AJ10-AJ8-AJ7-AJ6</f>
        <v>1360</v>
      </c>
      <c r="AK15" s="10">
        <f t="shared" si="5"/>
        <v>1573</v>
      </c>
      <c r="AL15" s="10">
        <f t="shared" si="5"/>
        <v>0</v>
      </c>
      <c r="AM15" s="10">
        <f t="shared" si="5"/>
        <v>0</v>
      </c>
      <c r="AN15" s="10">
        <f t="shared" si="5"/>
        <v>387</v>
      </c>
      <c r="AO15" s="10">
        <f t="shared" si="5"/>
        <v>92</v>
      </c>
      <c r="AP15" s="10">
        <f t="shared" si="5"/>
        <v>5571</v>
      </c>
      <c r="AQ15" s="10">
        <f t="shared" si="5"/>
        <v>156021</v>
      </c>
      <c r="AR15" s="10">
        <f t="shared" si="5"/>
        <v>472152</v>
      </c>
      <c r="AS15" s="10">
        <f t="shared" si="5"/>
        <v>605692</v>
      </c>
      <c r="AT15" s="10">
        <f t="shared" si="5"/>
        <v>185752</v>
      </c>
      <c r="AU15" s="10">
        <f t="shared" si="5"/>
        <v>1397645</v>
      </c>
      <c r="AV15" s="10">
        <f t="shared" si="5"/>
        <v>1</v>
      </c>
      <c r="AW15" s="10">
        <f t="shared" si="5"/>
        <v>6</v>
      </c>
      <c r="AX15" s="10">
        <f t="shared" si="5"/>
        <v>19032</v>
      </c>
      <c r="AY15" s="10">
        <f t="shared" si="5"/>
        <v>30126</v>
      </c>
      <c r="AZ15" s="10">
        <f t="shared" si="5"/>
        <v>2254</v>
      </c>
      <c r="BA15" s="10">
        <f t="shared" si="5"/>
        <v>5756</v>
      </c>
      <c r="BB15" s="10">
        <f t="shared" si="5"/>
        <v>188</v>
      </c>
      <c r="BC15" s="10">
        <f t="shared" si="5"/>
        <v>959</v>
      </c>
      <c r="BD15" s="10">
        <f t="shared" si="5"/>
        <v>62</v>
      </c>
      <c r="BE15" s="10">
        <f t="shared" si="5"/>
        <v>2433</v>
      </c>
      <c r="BF15" s="10">
        <f t="shared" si="5"/>
        <v>0</v>
      </c>
      <c r="BG15" s="10">
        <f t="shared" si="5"/>
        <v>0</v>
      </c>
      <c r="BH15" s="10">
        <f t="shared" si="5"/>
        <v>1640</v>
      </c>
      <c r="BI15" s="10">
        <f t="shared" si="5"/>
        <v>1640</v>
      </c>
      <c r="BJ15" s="10">
        <f t="shared" si="5"/>
        <v>454</v>
      </c>
      <c r="BK15" s="10">
        <f t="shared" si="5"/>
        <v>3459</v>
      </c>
      <c r="BL15" s="10">
        <f t="shared" si="5"/>
        <v>68197</v>
      </c>
      <c r="BM15" s="10">
        <f t="shared" si="5"/>
        <v>88989</v>
      </c>
      <c r="BN15" s="10">
        <f t="shared" si="5"/>
        <v>0</v>
      </c>
      <c r="BO15" s="10">
        <f t="shared" si="5"/>
        <v>0</v>
      </c>
      <c r="BP15" s="81">
        <f t="shared" si="2"/>
        <v>844807.01000000024</v>
      </c>
      <c r="BQ15" s="81">
        <f t="shared" si="3"/>
        <v>2747845.2300000004</v>
      </c>
    </row>
    <row r="16" spans="1:69" s="8" customFormat="1" x14ac:dyDescent="0.25">
      <c r="A16" s="3" t="s">
        <v>38</v>
      </c>
      <c r="B16" s="11">
        <v>-266260</v>
      </c>
      <c r="C16" s="11">
        <v>-1837086</v>
      </c>
      <c r="D16" s="11">
        <v>-563732</v>
      </c>
      <c r="E16" s="11">
        <v>-2309929</v>
      </c>
      <c r="F16" s="11">
        <v>900574</v>
      </c>
      <c r="G16" s="11">
        <v>2692466</v>
      </c>
      <c r="H16" s="11">
        <v>2858812</v>
      </c>
      <c r="I16" s="11">
        <v>275618</v>
      </c>
      <c r="J16" s="11">
        <v>5203285</v>
      </c>
      <c r="K16" s="11">
        <v>15920603</v>
      </c>
      <c r="L16" s="11">
        <v>2209692</v>
      </c>
      <c r="M16" s="11">
        <v>1594658</v>
      </c>
      <c r="N16" s="11">
        <v>2906395</v>
      </c>
      <c r="O16" s="11">
        <v>5996485</v>
      </c>
      <c r="P16" s="11">
        <v>-230666</v>
      </c>
      <c r="Q16" s="11">
        <v>-455225</v>
      </c>
      <c r="R16" s="11">
        <v>-371157</v>
      </c>
      <c r="S16" s="11">
        <v>-855683</v>
      </c>
      <c r="T16" s="11">
        <v>-1530752.05</v>
      </c>
      <c r="U16" s="11">
        <v>4505695.99</v>
      </c>
      <c r="V16" s="11">
        <v>2285539</v>
      </c>
      <c r="W16" s="11">
        <v>3823544</v>
      </c>
      <c r="X16" s="11">
        <v>-278325</v>
      </c>
      <c r="Y16" s="11">
        <v>-1725831</v>
      </c>
      <c r="Z16" s="11">
        <v>2451335</v>
      </c>
      <c r="AA16" s="11">
        <v>6943128</v>
      </c>
      <c r="AB16" s="11">
        <v>5935822</v>
      </c>
      <c r="AC16" s="11">
        <v>20240987</v>
      </c>
      <c r="AD16" s="11">
        <v>887403</v>
      </c>
      <c r="AE16" s="11">
        <v>3350534</v>
      </c>
      <c r="AF16" s="11">
        <v>-81421</v>
      </c>
      <c r="AG16" s="11">
        <v>-266891</v>
      </c>
      <c r="AH16" s="11">
        <v>1190224</v>
      </c>
      <c r="AI16" s="11">
        <v>93546</v>
      </c>
      <c r="AJ16" s="11">
        <v>63183</v>
      </c>
      <c r="AK16" s="11">
        <v>321794</v>
      </c>
      <c r="AL16" s="11">
        <v>1254352</v>
      </c>
      <c r="AM16" s="11">
        <v>412204</v>
      </c>
      <c r="AN16" s="11">
        <v>1097431</v>
      </c>
      <c r="AO16" s="11">
        <v>1452411</v>
      </c>
      <c r="AP16" s="156">
        <v>-6604995</v>
      </c>
      <c r="AQ16" s="156">
        <v>-27517132</v>
      </c>
      <c r="AR16" s="11">
        <v>3995865</v>
      </c>
      <c r="AS16" s="11">
        <v>27974079</v>
      </c>
      <c r="AT16" s="11">
        <v>-8445946</v>
      </c>
      <c r="AU16" s="11">
        <v>-12100300</v>
      </c>
      <c r="AV16" s="11">
        <v>-103783</v>
      </c>
      <c r="AW16" s="11">
        <v>-19560</v>
      </c>
      <c r="AX16" s="11">
        <v>2451287</v>
      </c>
      <c r="AY16" s="11">
        <v>5591113</v>
      </c>
      <c r="AZ16" s="11">
        <v>2417874</v>
      </c>
      <c r="BA16" s="11">
        <v>2789974</v>
      </c>
      <c r="BB16" s="11">
        <v>3943279</v>
      </c>
      <c r="BC16" s="11">
        <v>1470043</v>
      </c>
      <c r="BD16" s="11">
        <v>1858912</v>
      </c>
      <c r="BE16" s="11">
        <v>5912747</v>
      </c>
      <c r="BF16" s="11">
        <v>3324996</v>
      </c>
      <c r="BG16" s="11">
        <v>10412739</v>
      </c>
      <c r="BH16" s="11">
        <v>6050293</v>
      </c>
      <c r="BI16" s="11">
        <v>4543788</v>
      </c>
      <c r="BJ16" s="11">
        <v>501077</v>
      </c>
      <c r="BK16" s="11">
        <v>4982329</v>
      </c>
      <c r="BL16" s="11">
        <v>-994080</v>
      </c>
      <c r="BM16" s="11">
        <v>-13904709</v>
      </c>
      <c r="BN16" s="11">
        <v>1051012</v>
      </c>
      <c r="BO16" s="11">
        <v>2047269</v>
      </c>
      <c r="BP16" s="76">
        <f t="shared" si="2"/>
        <v>35367524.950000003</v>
      </c>
      <c r="BQ16" s="76">
        <f t="shared" si="3"/>
        <v>72355408.99000001</v>
      </c>
    </row>
    <row r="17" spans="1:69" x14ac:dyDescent="0.25">
      <c r="A17" s="3" t="s">
        <v>276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80"/>
      <c r="BQ17" s="80"/>
    </row>
    <row r="18" spans="1:69" x14ac:dyDescent="0.25">
      <c r="A18" s="2" t="s">
        <v>277</v>
      </c>
      <c r="B18" s="10">
        <v>12500</v>
      </c>
      <c r="C18" s="10">
        <v>25000</v>
      </c>
      <c r="D18" s="10">
        <v>10000</v>
      </c>
      <c r="E18" s="10">
        <v>40000</v>
      </c>
      <c r="F18" s="10"/>
      <c r="G18" s="10"/>
      <c r="H18" s="10">
        <v>449616</v>
      </c>
      <c r="I18" s="10">
        <v>575969</v>
      </c>
      <c r="J18" s="10">
        <v>544165</v>
      </c>
      <c r="K18" s="10">
        <v>1286559</v>
      </c>
      <c r="L18" s="10">
        <v>947500</v>
      </c>
      <c r="M18" s="10">
        <v>1570000</v>
      </c>
      <c r="N18" s="10">
        <v>15327</v>
      </c>
      <c r="O18" s="10">
        <v>-28917</v>
      </c>
      <c r="P18" s="10">
        <v>127265</v>
      </c>
      <c r="Q18" s="10">
        <v>150063</v>
      </c>
      <c r="R18" s="10">
        <v>22236</v>
      </c>
      <c r="S18" s="10">
        <v>101173</v>
      </c>
      <c r="T18" s="10"/>
      <c r="U18" s="10"/>
      <c r="V18" s="10">
        <v>204750</v>
      </c>
      <c r="W18" s="10">
        <v>273750</v>
      </c>
      <c r="X18" s="10"/>
      <c r="Y18" s="10"/>
      <c r="Z18" s="10">
        <v>117050</v>
      </c>
      <c r="AA18" s="10">
        <v>116600</v>
      </c>
      <c r="AB18" s="10">
        <v>1198813</v>
      </c>
      <c r="AC18" s="10">
        <v>1201518</v>
      </c>
      <c r="AD18" s="10">
        <v>425000</v>
      </c>
      <c r="AE18" s="10">
        <v>450000</v>
      </c>
      <c r="AF18" s="10"/>
      <c r="AG18" s="10"/>
      <c r="AH18" s="10"/>
      <c r="AI18" s="10"/>
      <c r="AJ18" s="10">
        <v>112170</v>
      </c>
      <c r="AK18" s="10">
        <v>186915</v>
      </c>
      <c r="AL18" s="10">
        <v>159695</v>
      </c>
      <c r="AM18" s="10">
        <v>189695</v>
      </c>
      <c r="AN18" s="10">
        <v>75000</v>
      </c>
      <c r="AO18" s="10">
        <v>150000</v>
      </c>
      <c r="AP18" s="155">
        <v>4</v>
      </c>
      <c r="AQ18" s="155">
        <v>15665</v>
      </c>
      <c r="AR18" s="10">
        <v>-85696</v>
      </c>
      <c r="AS18" s="10">
        <v>48548</v>
      </c>
      <c r="AT18" s="10">
        <v>-895</v>
      </c>
      <c r="AU18" s="10">
        <v>-895</v>
      </c>
      <c r="AV18" s="10">
        <v>4</v>
      </c>
      <c r="AW18" s="10">
        <v>149979</v>
      </c>
      <c r="AX18" s="10">
        <v>212315</v>
      </c>
      <c r="AY18" s="10">
        <v>212315</v>
      </c>
      <c r="AZ18" s="10"/>
      <c r="BA18" s="10"/>
      <c r="BB18" s="10"/>
      <c r="BC18" s="10"/>
      <c r="BD18" s="10">
        <v>-251790</v>
      </c>
      <c r="BE18" s="10">
        <v>-124074</v>
      </c>
      <c r="BF18" s="10"/>
      <c r="BG18" s="10"/>
      <c r="BH18" s="10"/>
      <c r="BI18" s="10"/>
      <c r="BJ18" s="10">
        <v>-145376</v>
      </c>
      <c r="BK18" s="10"/>
      <c r="BL18" s="10">
        <v>-18538</v>
      </c>
      <c r="BM18" s="10">
        <v>-4538</v>
      </c>
      <c r="BN18" s="10"/>
      <c r="BO18" s="10"/>
      <c r="BP18" s="81">
        <f t="shared" ref="BP18:BP25" si="6">B18+D18+F18+H18+J18+L18+N18+P18+R18+T18+V18+X18+Z18+AB18+AD18+AF18+AH18+AJ18+AL18+AN18+AP18+AR18+AT18+AV18+AX18+AZ18+BB18+BD18+BF18+BH18+BJ18+BL18+BN18</f>
        <v>4131115</v>
      </c>
      <c r="BQ18" s="81">
        <f t="shared" ref="BQ18:BQ25" si="7">C18+E18+G18+I18+K18+M18+O18+Q18+S18+U18+W18+Y18+AA18+AC18+AE18+AG18+AI18+AK18+AM18+AO18+AQ18+AS18+AU18+AW18+AY18+BA18+BC18+BE18+BG18+BI18+BK18+BM18+BO18</f>
        <v>6585325</v>
      </c>
    </row>
    <row r="19" spans="1:69" x14ac:dyDescent="0.25">
      <c r="A19" s="2" t="s">
        <v>278</v>
      </c>
      <c r="B19" s="10"/>
      <c r="C19" s="10"/>
      <c r="D19" s="10"/>
      <c r="E19" s="10"/>
      <c r="F19" s="10">
        <v>403</v>
      </c>
      <c r="G19" s="10"/>
      <c r="H19" s="10"/>
      <c r="I19" s="10"/>
      <c r="J19" s="10">
        <v>1701</v>
      </c>
      <c r="K19" s="10">
        <v>9891</v>
      </c>
      <c r="L19" s="10">
        <v>24716</v>
      </c>
      <c r="M19" s="10">
        <v>31516</v>
      </c>
      <c r="N19" s="10">
        <v>314572</v>
      </c>
      <c r="O19" s="10">
        <v>1573243</v>
      </c>
      <c r="P19" s="10"/>
      <c r="Q19" s="10"/>
      <c r="R19" s="10"/>
      <c r="S19" s="10"/>
      <c r="T19" s="10">
        <v>50.37</v>
      </c>
      <c r="U19" s="10">
        <v>50.37</v>
      </c>
      <c r="V19" s="10"/>
      <c r="W19" s="10"/>
      <c r="X19" s="10"/>
      <c r="Y19" s="10"/>
      <c r="Z19" s="10"/>
      <c r="AA19" s="10">
        <v>-30108</v>
      </c>
      <c r="AB19" s="10">
        <v>58087</v>
      </c>
      <c r="AC19" s="10">
        <v>474533</v>
      </c>
      <c r="AD19" s="10"/>
      <c r="AE19" s="10"/>
      <c r="AF19" s="10"/>
      <c r="AG19" s="10"/>
      <c r="AH19" s="10"/>
      <c r="AI19" s="10"/>
      <c r="AJ19" s="10">
        <v>199</v>
      </c>
      <c r="AK19" s="10">
        <v>655</v>
      </c>
      <c r="AL19" s="10">
        <v>-605</v>
      </c>
      <c r="AM19" s="10">
        <v>4344</v>
      </c>
      <c r="AN19" s="10">
        <v>59472</v>
      </c>
      <c r="AO19" s="10">
        <v>350002</v>
      </c>
      <c r="AP19" s="155">
        <v>175228</v>
      </c>
      <c r="AQ19" s="155">
        <v>175228</v>
      </c>
      <c r="AR19" s="10">
        <v>445285</v>
      </c>
      <c r="AS19" s="10">
        <v>711400</v>
      </c>
      <c r="AT19" s="10">
        <v>-438646</v>
      </c>
      <c r="AU19" s="10">
        <v>-438646</v>
      </c>
      <c r="AV19" s="10"/>
      <c r="AW19" s="10"/>
      <c r="AX19" s="10">
        <v>257281</v>
      </c>
      <c r="AY19" s="10">
        <v>257281</v>
      </c>
      <c r="AZ19" s="10"/>
      <c r="BA19" s="10"/>
      <c r="BB19" s="10">
        <v>5064</v>
      </c>
      <c r="BC19" s="10">
        <v>20255</v>
      </c>
      <c r="BD19" s="10">
        <v>65630</v>
      </c>
      <c r="BE19" s="10">
        <v>65630</v>
      </c>
      <c r="BF19" s="10">
        <v>51</v>
      </c>
      <c r="BG19" s="10">
        <v>1921</v>
      </c>
      <c r="BH19" s="10">
        <v>5100</v>
      </c>
      <c r="BI19" s="10">
        <v>5100</v>
      </c>
      <c r="BJ19" s="10">
        <v>-196475</v>
      </c>
      <c r="BK19" s="10">
        <v>-117213</v>
      </c>
      <c r="BL19" s="10">
        <v>43902</v>
      </c>
      <c r="BM19" s="10">
        <v>63188</v>
      </c>
      <c r="BN19" s="10"/>
      <c r="BO19" s="10"/>
      <c r="BP19" s="81">
        <f t="shared" si="6"/>
        <v>821015.37000000011</v>
      </c>
      <c r="BQ19" s="81">
        <f t="shared" si="7"/>
        <v>3158270.37</v>
      </c>
    </row>
    <row r="20" spans="1:69" x14ac:dyDescent="0.25">
      <c r="A20" s="2" t="s">
        <v>61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1233</v>
      </c>
      <c r="P20" s="10"/>
      <c r="Q20" s="10"/>
      <c r="R20" s="10"/>
      <c r="S20" s="10"/>
      <c r="T20" s="10"/>
      <c r="U20" s="10">
        <v>322780.95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>
        <v>-60</v>
      </c>
      <c r="AK20" s="10">
        <v>-60</v>
      </c>
      <c r="AL20" s="10"/>
      <c r="AM20" s="10"/>
      <c r="AN20" s="10"/>
      <c r="AO20" s="10"/>
      <c r="AP20" s="10"/>
      <c r="AQ20" s="10"/>
      <c r="AR20" s="10"/>
      <c r="AS20" s="10"/>
      <c r="AT20" s="10">
        <v>-11662</v>
      </c>
      <c r="AU20" s="10">
        <v>3881</v>
      </c>
      <c r="AV20" s="10"/>
      <c r="AW20" s="10"/>
      <c r="AX20" s="10">
        <f>410426-398094</f>
        <v>12332</v>
      </c>
      <c r="AY20" s="10">
        <v>12332</v>
      </c>
      <c r="AZ20" s="10"/>
      <c r="BA20" s="10"/>
      <c r="BB20" s="10">
        <v>49772</v>
      </c>
      <c r="BC20" s="10">
        <f>5536+225549</f>
        <v>231085</v>
      </c>
      <c r="BD20" s="10"/>
      <c r="BE20" s="10"/>
      <c r="BF20" s="10"/>
      <c r="BG20" s="10"/>
      <c r="BH20" s="10">
        <v>-39975</v>
      </c>
      <c r="BI20" s="10">
        <v>-39975</v>
      </c>
      <c r="BJ20" s="10"/>
      <c r="BK20" s="10"/>
      <c r="BL20" s="10"/>
      <c r="BM20" s="10"/>
      <c r="BN20" s="10"/>
      <c r="BO20" s="10"/>
      <c r="BP20" s="81">
        <f t="shared" si="6"/>
        <v>10407</v>
      </c>
      <c r="BQ20" s="81">
        <f t="shared" si="7"/>
        <v>531276.94999999995</v>
      </c>
    </row>
    <row r="21" spans="1:69" x14ac:dyDescent="0.25">
      <c r="A21" s="3" t="s">
        <v>279</v>
      </c>
      <c r="B21" s="10">
        <f>B22-B20-B19-B18</f>
        <v>2173</v>
      </c>
      <c r="C21" s="10">
        <f t="shared" ref="C21:AI21" si="8">C22-C20-C19-C18</f>
        <v>15752</v>
      </c>
      <c r="D21" s="10">
        <f t="shared" si="8"/>
        <v>6803</v>
      </c>
      <c r="E21" s="10">
        <f t="shared" si="8"/>
        <v>61672</v>
      </c>
      <c r="F21" s="10">
        <f t="shared" si="8"/>
        <v>155954</v>
      </c>
      <c r="G21" s="10">
        <f t="shared" si="8"/>
        <v>156357</v>
      </c>
      <c r="H21" s="10">
        <f t="shared" si="8"/>
        <v>1221665</v>
      </c>
      <c r="I21" s="10">
        <f t="shared" si="8"/>
        <v>1381346</v>
      </c>
      <c r="J21" s="10">
        <f t="shared" si="8"/>
        <v>516134</v>
      </c>
      <c r="K21" s="10">
        <f t="shared" si="8"/>
        <v>864645</v>
      </c>
      <c r="L21" s="10">
        <f t="shared" si="8"/>
        <v>2241097</v>
      </c>
      <c r="M21" s="10">
        <f t="shared" si="8"/>
        <v>2429413</v>
      </c>
      <c r="N21" s="10">
        <f t="shared" si="8"/>
        <v>1744932</v>
      </c>
      <c r="O21" s="10">
        <f t="shared" si="8"/>
        <v>1904926</v>
      </c>
      <c r="P21" s="10">
        <f t="shared" si="8"/>
        <v>65807</v>
      </c>
      <c r="Q21" s="10">
        <f t="shared" si="8"/>
        <v>105227</v>
      </c>
      <c r="R21" s="10">
        <f t="shared" si="8"/>
        <v>-1184</v>
      </c>
      <c r="S21" s="10">
        <f t="shared" si="8"/>
        <v>5873</v>
      </c>
      <c r="T21" s="10">
        <f t="shared" si="8"/>
        <v>85900.69</v>
      </c>
      <c r="U21" s="10">
        <f t="shared" si="8"/>
        <v>182675.46000000002</v>
      </c>
      <c r="V21" s="10">
        <f t="shared" si="8"/>
        <v>1768889</v>
      </c>
      <c r="W21" s="10">
        <f t="shared" si="8"/>
        <v>1819800</v>
      </c>
      <c r="X21" s="10">
        <f t="shared" si="8"/>
        <v>13220</v>
      </c>
      <c r="Y21" s="10">
        <f t="shared" si="8"/>
        <v>26633</v>
      </c>
      <c r="Z21" s="10">
        <f t="shared" si="8"/>
        <v>323846</v>
      </c>
      <c r="AA21" s="10">
        <f t="shared" si="8"/>
        <v>738732</v>
      </c>
      <c r="AB21" s="10">
        <f t="shared" si="8"/>
        <v>972549</v>
      </c>
      <c r="AC21" s="10">
        <f t="shared" si="8"/>
        <v>1596070</v>
      </c>
      <c r="AD21" s="10">
        <f t="shared" si="8"/>
        <v>155235</v>
      </c>
      <c r="AE21" s="10">
        <f t="shared" si="8"/>
        <v>223012</v>
      </c>
      <c r="AF21" s="10">
        <f t="shared" si="8"/>
        <v>10097</v>
      </c>
      <c r="AG21" s="10">
        <f t="shared" si="8"/>
        <v>14339</v>
      </c>
      <c r="AH21" s="10">
        <f t="shared" si="8"/>
        <v>1064309</v>
      </c>
      <c r="AI21" s="10">
        <f t="shared" si="8"/>
        <v>1189558</v>
      </c>
      <c r="AJ21" s="10">
        <f t="shared" ref="AJ21:BO21" si="9">AJ22-AJ20-AJ19-AJ18</f>
        <v>5061</v>
      </c>
      <c r="AK21" s="10">
        <f t="shared" si="9"/>
        <v>116873</v>
      </c>
      <c r="AL21" s="10">
        <f t="shared" si="9"/>
        <v>1512254</v>
      </c>
      <c r="AM21" s="10">
        <f t="shared" si="9"/>
        <v>1555308</v>
      </c>
      <c r="AN21" s="10">
        <f t="shared" si="9"/>
        <v>570388</v>
      </c>
      <c r="AO21" s="10">
        <f t="shared" si="9"/>
        <v>1567929</v>
      </c>
      <c r="AP21" s="10">
        <f t="shared" si="9"/>
        <v>12801375</v>
      </c>
      <c r="AQ21" s="10">
        <f t="shared" si="9"/>
        <v>13375334</v>
      </c>
      <c r="AR21" s="10">
        <f t="shared" si="9"/>
        <v>2237549</v>
      </c>
      <c r="AS21" s="10">
        <f t="shared" si="9"/>
        <v>10825869</v>
      </c>
      <c r="AT21" s="10">
        <f t="shared" si="9"/>
        <v>3108461</v>
      </c>
      <c r="AU21" s="10">
        <f t="shared" si="9"/>
        <v>3322324</v>
      </c>
      <c r="AV21" s="10">
        <f t="shared" si="9"/>
        <v>173347</v>
      </c>
      <c r="AW21" s="10">
        <f t="shared" si="9"/>
        <v>485204</v>
      </c>
      <c r="AX21" s="10">
        <f t="shared" si="9"/>
        <v>1107421</v>
      </c>
      <c r="AY21" s="10">
        <f t="shared" si="9"/>
        <v>2115357</v>
      </c>
      <c r="AZ21" s="10">
        <f t="shared" si="9"/>
        <v>2086100</v>
      </c>
      <c r="BA21" s="10">
        <f t="shared" si="9"/>
        <v>2131067</v>
      </c>
      <c r="BB21" s="10">
        <f t="shared" si="9"/>
        <v>692470</v>
      </c>
      <c r="BC21" s="10">
        <f t="shared" si="9"/>
        <v>805727</v>
      </c>
      <c r="BD21" s="10">
        <f t="shared" si="9"/>
        <v>267054</v>
      </c>
      <c r="BE21" s="10">
        <f t="shared" si="9"/>
        <v>327136</v>
      </c>
      <c r="BF21" s="10">
        <f t="shared" si="9"/>
        <v>370319</v>
      </c>
      <c r="BG21" s="10">
        <f t="shared" si="9"/>
        <v>400291</v>
      </c>
      <c r="BH21" s="10">
        <f t="shared" si="9"/>
        <v>293848</v>
      </c>
      <c r="BI21" s="10">
        <f t="shared" si="9"/>
        <v>516593</v>
      </c>
      <c r="BJ21" s="10">
        <f t="shared" si="9"/>
        <v>336241</v>
      </c>
      <c r="BK21" s="10">
        <f t="shared" si="9"/>
        <v>537405</v>
      </c>
      <c r="BL21" s="10">
        <f t="shared" si="9"/>
        <v>251460</v>
      </c>
      <c r="BM21" s="10">
        <f t="shared" si="9"/>
        <v>893820</v>
      </c>
      <c r="BN21" s="10">
        <f t="shared" si="9"/>
        <v>24018</v>
      </c>
      <c r="BO21" s="10">
        <f t="shared" si="9"/>
        <v>56604</v>
      </c>
      <c r="BP21" s="81">
        <f t="shared" si="6"/>
        <v>36184792.689999998</v>
      </c>
      <c r="BQ21" s="81">
        <f t="shared" si="7"/>
        <v>51748871.460000001</v>
      </c>
    </row>
    <row r="22" spans="1:69" s="8" customFormat="1" x14ac:dyDescent="0.25">
      <c r="A22" s="3" t="s">
        <v>42</v>
      </c>
      <c r="B22" s="11">
        <v>14673</v>
      </c>
      <c r="C22" s="11">
        <v>40752</v>
      </c>
      <c r="D22" s="11">
        <v>16803</v>
      </c>
      <c r="E22" s="11">
        <v>101672</v>
      </c>
      <c r="F22" s="11">
        <v>156357</v>
      </c>
      <c r="G22" s="11">
        <v>156357</v>
      </c>
      <c r="H22" s="11">
        <v>1671281</v>
      </c>
      <c r="I22" s="11">
        <v>1957315</v>
      </c>
      <c r="J22" s="11">
        <v>1062000</v>
      </c>
      <c r="K22" s="11">
        <v>2161095</v>
      </c>
      <c r="L22" s="11">
        <v>3213313</v>
      </c>
      <c r="M22" s="11">
        <v>4030929</v>
      </c>
      <c r="N22" s="11">
        <v>2074831</v>
      </c>
      <c r="O22" s="11">
        <v>3450485</v>
      </c>
      <c r="P22" s="11">
        <v>193072</v>
      </c>
      <c r="Q22" s="11">
        <v>255290</v>
      </c>
      <c r="R22" s="11">
        <v>21052</v>
      </c>
      <c r="S22" s="11">
        <v>107046</v>
      </c>
      <c r="T22" s="11">
        <v>85951.06</v>
      </c>
      <c r="U22" s="11">
        <v>505506.78</v>
      </c>
      <c r="V22" s="11">
        <v>1973639</v>
      </c>
      <c r="W22" s="11">
        <v>2093550</v>
      </c>
      <c r="X22" s="11">
        <v>13220</v>
      </c>
      <c r="Y22" s="11">
        <v>26633</v>
      </c>
      <c r="Z22" s="11">
        <v>440896</v>
      </c>
      <c r="AA22" s="11">
        <v>825224</v>
      </c>
      <c r="AB22" s="11">
        <v>2229449</v>
      </c>
      <c r="AC22" s="11">
        <v>3272121</v>
      </c>
      <c r="AD22" s="11">
        <v>580235</v>
      </c>
      <c r="AE22" s="11">
        <v>673012</v>
      </c>
      <c r="AF22" s="11">
        <v>10097</v>
      </c>
      <c r="AG22" s="11">
        <v>14339</v>
      </c>
      <c r="AH22" s="11">
        <v>1064309</v>
      </c>
      <c r="AI22" s="11">
        <v>1189558</v>
      </c>
      <c r="AJ22" s="11">
        <v>117370</v>
      </c>
      <c r="AK22" s="11">
        <v>304383</v>
      </c>
      <c r="AL22" s="11">
        <v>1671344</v>
      </c>
      <c r="AM22" s="11">
        <v>1749347</v>
      </c>
      <c r="AN22" s="11">
        <v>704860</v>
      </c>
      <c r="AO22" s="11">
        <v>2067931</v>
      </c>
      <c r="AP22" s="156">
        <v>12976607</v>
      </c>
      <c r="AQ22" s="156">
        <v>13566227</v>
      </c>
      <c r="AR22" s="11">
        <v>2597138</v>
      </c>
      <c r="AS22" s="11">
        <v>11585817</v>
      </c>
      <c r="AT22" s="11">
        <v>2657258</v>
      </c>
      <c r="AU22" s="11">
        <v>2886664</v>
      </c>
      <c r="AV22" s="11">
        <v>173351</v>
      </c>
      <c r="AW22" s="11">
        <v>635183</v>
      </c>
      <c r="AX22" s="11">
        <v>1589349</v>
      </c>
      <c r="AY22" s="11">
        <v>2597285</v>
      </c>
      <c r="AZ22" s="11">
        <v>2086100</v>
      </c>
      <c r="BA22" s="11">
        <v>2131067</v>
      </c>
      <c r="BB22" s="11">
        <v>747306</v>
      </c>
      <c r="BC22" s="11">
        <v>1057067</v>
      </c>
      <c r="BD22" s="11">
        <v>80894</v>
      </c>
      <c r="BE22" s="11">
        <v>268692</v>
      </c>
      <c r="BF22" s="11">
        <v>370370</v>
      </c>
      <c r="BG22" s="11">
        <v>402212</v>
      </c>
      <c r="BH22" s="11">
        <v>258973</v>
      </c>
      <c r="BI22" s="11">
        <v>481718</v>
      </c>
      <c r="BJ22" s="11">
        <v>-5610</v>
      </c>
      <c r="BK22" s="11">
        <v>420192</v>
      </c>
      <c r="BL22" s="11">
        <v>276824</v>
      </c>
      <c r="BM22" s="11">
        <v>952470</v>
      </c>
      <c r="BN22" s="11">
        <v>24018</v>
      </c>
      <c r="BO22" s="11">
        <v>56604</v>
      </c>
      <c r="BP22" s="76">
        <f t="shared" si="6"/>
        <v>41147330.060000002</v>
      </c>
      <c r="BQ22" s="76">
        <f t="shared" si="7"/>
        <v>62023743.780000001</v>
      </c>
    </row>
    <row r="23" spans="1:69" s="8" customFormat="1" x14ac:dyDescent="0.25">
      <c r="A23" s="3" t="s">
        <v>280</v>
      </c>
      <c r="B23" s="11">
        <f>B16-B22</f>
        <v>-280933</v>
      </c>
      <c r="C23" s="11">
        <f t="shared" ref="C23:AJ23" si="10">C16-C22</f>
        <v>-1877838</v>
      </c>
      <c r="D23" s="11">
        <f t="shared" si="10"/>
        <v>-580535</v>
      </c>
      <c r="E23" s="11">
        <f t="shared" si="10"/>
        <v>-2411601</v>
      </c>
      <c r="F23" s="11">
        <f t="shared" si="10"/>
        <v>744217</v>
      </c>
      <c r="G23" s="11">
        <f t="shared" si="10"/>
        <v>2536109</v>
      </c>
      <c r="H23" s="11">
        <f t="shared" si="10"/>
        <v>1187531</v>
      </c>
      <c r="I23" s="11">
        <f t="shared" si="10"/>
        <v>-1681697</v>
      </c>
      <c r="J23" s="11">
        <f t="shared" si="10"/>
        <v>4141285</v>
      </c>
      <c r="K23" s="11">
        <f t="shared" si="10"/>
        <v>13759508</v>
      </c>
      <c r="L23" s="11">
        <f t="shared" si="10"/>
        <v>-1003621</v>
      </c>
      <c r="M23" s="11">
        <f t="shared" si="10"/>
        <v>-2436271</v>
      </c>
      <c r="N23" s="11">
        <f t="shared" si="10"/>
        <v>831564</v>
      </c>
      <c r="O23" s="11">
        <f t="shared" si="10"/>
        <v>2546000</v>
      </c>
      <c r="P23" s="11">
        <f t="shared" si="10"/>
        <v>-423738</v>
      </c>
      <c r="Q23" s="11">
        <f t="shared" si="10"/>
        <v>-710515</v>
      </c>
      <c r="R23" s="11">
        <f t="shared" si="10"/>
        <v>-392209</v>
      </c>
      <c r="S23" s="11">
        <f t="shared" si="10"/>
        <v>-962729</v>
      </c>
      <c r="T23" s="11">
        <f t="shared" si="10"/>
        <v>-1616703.11</v>
      </c>
      <c r="U23" s="11">
        <f t="shared" si="10"/>
        <v>4000189.21</v>
      </c>
      <c r="V23" s="11">
        <f t="shared" si="10"/>
        <v>311900</v>
      </c>
      <c r="W23" s="11">
        <f t="shared" si="10"/>
        <v>1729994</v>
      </c>
      <c r="X23" s="11">
        <f t="shared" si="10"/>
        <v>-291545</v>
      </c>
      <c r="Y23" s="11">
        <f t="shared" si="10"/>
        <v>-1752464</v>
      </c>
      <c r="Z23" s="11">
        <f t="shared" si="10"/>
        <v>2010439</v>
      </c>
      <c r="AA23" s="11">
        <f t="shared" si="10"/>
        <v>6117904</v>
      </c>
      <c r="AB23" s="11">
        <f t="shared" si="10"/>
        <v>3706373</v>
      </c>
      <c r="AC23" s="11">
        <f t="shared" si="10"/>
        <v>16968866</v>
      </c>
      <c r="AD23" s="11">
        <f t="shared" si="10"/>
        <v>307168</v>
      </c>
      <c r="AE23" s="11">
        <f t="shared" si="10"/>
        <v>2677522</v>
      </c>
      <c r="AF23" s="11">
        <f t="shared" si="10"/>
        <v>-91518</v>
      </c>
      <c r="AG23" s="11">
        <f t="shared" si="10"/>
        <v>-281230</v>
      </c>
      <c r="AH23" s="11">
        <f t="shared" si="10"/>
        <v>125915</v>
      </c>
      <c r="AI23" s="11">
        <f t="shared" si="10"/>
        <v>-1096012</v>
      </c>
      <c r="AJ23" s="11">
        <f t="shared" si="10"/>
        <v>-54187</v>
      </c>
      <c r="AK23" s="11">
        <f t="shared" ref="AK23:BO23" si="11">AK16-AK22</f>
        <v>17411</v>
      </c>
      <c r="AL23" s="11">
        <f t="shared" si="11"/>
        <v>-416992</v>
      </c>
      <c r="AM23" s="11">
        <f t="shared" si="11"/>
        <v>-1337143</v>
      </c>
      <c r="AN23" s="11">
        <f t="shared" si="11"/>
        <v>392571</v>
      </c>
      <c r="AO23" s="11">
        <f t="shared" si="11"/>
        <v>-615520</v>
      </c>
      <c r="AP23" s="11">
        <f t="shared" si="11"/>
        <v>-19581602</v>
      </c>
      <c r="AQ23" s="11">
        <f t="shared" si="11"/>
        <v>-41083359</v>
      </c>
      <c r="AR23" s="11">
        <f t="shared" si="11"/>
        <v>1398727</v>
      </c>
      <c r="AS23" s="11">
        <f t="shared" si="11"/>
        <v>16388262</v>
      </c>
      <c r="AT23" s="11">
        <f t="shared" si="11"/>
        <v>-11103204</v>
      </c>
      <c r="AU23" s="11">
        <f t="shared" si="11"/>
        <v>-14986964</v>
      </c>
      <c r="AV23" s="11">
        <f t="shared" si="11"/>
        <v>-277134</v>
      </c>
      <c r="AW23" s="11">
        <f t="shared" si="11"/>
        <v>-654743</v>
      </c>
      <c r="AX23" s="11">
        <f t="shared" si="11"/>
        <v>861938</v>
      </c>
      <c r="AY23" s="11">
        <f t="shared" si="11"/>
        <v>2993828</v>
      </c>
      <c r="AZ23" s="11">
        <f t="shared" si="11"/>
        <v>331774</v>
      </c>
      <c r="BA23" s="11">
        <f t="shared" si="11"/>
        <v>658907</v>
      </c>
      <c r="BB23" s="11">
        <f t="shared" si="11"/>
        <v>3195973</v>
      </c>
      <c r="BC23" s="11">
        <f t="shared" si="11"/>
        <v>412976</v>
      </c>
      <c r="BD23" s="11">
        <f t="shared" si="11"/>
        <v>1778018</v>
      </c>
      <c r="BE23" s="11">
        <f t="shared" si="11"/>
        <v>5644055</v>
      </c>
      <c r="BF23" s="11">
        <f t="shared" si="11"/>
        <v>2954626</v>
      </c>
      <c r="BG23" s="11">
        <f t="shared" si="11"/>
        <v>10010527</v>
      </c>
      <c r="BH23" s="11">
        <f t="shared" si="11"/>
        <v>5791320</v>
      </c>
      <c r="BI23" s="11">
        <f t="shared" si="11"/>
        <v>4062070</v>
      </c>
      <c r="BJ23" s="11">
        <f t="shared" si="11"/>
        <v>506687</v>
      </c>
      <c r="BK23" s="11">
        <f t="shared" si="11"/>
        <v>4562137</v>
      </c>
      <c r="BL23" s="11">
        <f t="shared" si="11"/>
        <v>-1270904</v>
      </c>
      <c r="BM23" s="11">
        <f t="shared" si="11"/>
        <v>-14857179</v>
      </c>
      <c r="BN23" s="11">
        <f t="shared" si="11"/>
        <v>1026994</v>
      </c>
      <c r="BO23" s="11">
        <f t="shared" si="11"/>
        <v>1990665</v>
      </c>
      <c r="BP23" s="76">
        <f t="shared" si="6"/>
        <v>-5779805.1099999994</v>
      </c>
      <c r="BQ23" s="76">
        <f t="shared" si="7"/>
        <v>10331665.210000001</v>
      </c>
    </row>
    <row r="24" spans="1:69" x14ac:dyDescent="0.25">
      <c r="A24" s="2" t="s">
        <v>282</v>
      </c>
      <c r="B24" s="10"/>
      <c r="C24" s="10"/>
      <c r="D24" s="10"/>
      <c r="E24" s="10"/>
      <c r="F24" s="10">
        <v>132698</v>
      </c>
      <c r="G24" s="10">
        <v>769079</v>
      </c>
      <c r="H24" s="10"/>
      <c r="I24" s="10"/>
      <c r="J24" s="10">
        <v>1100684</v>
      </c>
      <c r="K24" s="10">
        <v>3771738</v>
      </c>
      <c r="L24" s="10"/>
      <c r="M24" s="10"/>
      <c r="N24" s="10">
        <v>216800</v>
      </c>
      <c r="O24" s="10">
        <v>1051600</v>
      </c>
      <c r="P24" s="10"/>
      <c r="Q24" s="10"/>
      <c r="R24" s="10">
        <v>136</v>
      </c>
      <c r="S24" s="10">
        <v>136</v>
      </c>
      <c r="T24" s="10">
        <f>-105928.58-540000+20</f>
        <v>-645908.57999999996</v>
      </c>
      <c r="U24" s="10">
        <f>-105928.58+870000+472.34-2751.96</f>
        <v>761791.8</v>
      </c>
      <c r="V24" s="10">
        <f>24556+60084</f>
        <v>84640</v>
      </c>
      <c r="W24" s="10">
        <f>586477+147545</f>
        <v>734022</v>
      </c>
      <c r="X24" s="10"/>
      <c r="Y24" s="10"/>
      <c r="Z24" s="10">
        <f>568205-13859</f>
        <v>554346</v>
      </c>
      <c r="AA24" s="10">
        <f>1573053+67791</f>
        <v>1640844</v>
      </c>
      <c r="AB24" s="10">
        <f>224340+662774</f>
        <v>887114</v>
      </c>
      <c r="AC24" s="10">
        <f>5081766-50470</f>
        <v>5031296</v>
      </c>
      <c r="AD24" s="10">
        <f>254800-144000-1747</f>
        <v>109053</v>
      </c>
      <c r="AE24" s="10">
        <f>681500-49200-1747</f>
        <v>630553</v>
      </c>
      <c r="AF24" s="10"/>
      <c r="AG24" s="10"/>
      <c r="AH24" s="10"/>
      <c r="AI24" s="10"/>
      <c r="AJ24" s="10">
        <v>78621</v>
      </c>
      <c r="AK24" s="10">
        <f>78621-1102</f>
        <v>77519</v>
      </c>
      <c r="AL24" s="10"/>
      <c r="AM24" s="10"/>
      <c r="AN24" s="10"/>
      <c r="AO24" s="10"/>
      <c r="AP24" s="10"/>
      <c r="AQ24" s="10"/>
      <c r="AR24" s="10">
        <f>220883-88557</f>
        <v>132326</v>
      </c>
      <c r="AS24" s="10">
        <f>2425724-214985</f>
        <v>2210739</v>
      </c>
      <c r="AT24" s="10">
        <v>254120</v>
      </c>
      <c r="AU24" s="10">
        <v>254120</v>
      </c>
      <c r="AV24" s="10"/>
      <c r="AW24" s="10"/>
      <c r="AX24" s="10">
        <f>149013-18167</f>
        <v>130846</v>
      </c>
      <c r="AY24" s="10">
        <f>501585+52313-153686</f>
        <v>400212</v>
      </c>
      <c r="AZ24" s="10">
        <f>3422-1055</f>
        <v>2367</v>
      </c>
      <c r="BA24" s="10">
        <f>3422-1055</f>
        <v>2367</v>
      </c>
      <c r="BB24" s="10">
        <v>10581</v>
      </c>
      <c r="BC24" s="10">
        <v>167508</v>
      </c>
      <c r="BD24" s="10">
        <f>201382+225366</f>
        <v>426748</v>
      </c>
      <c r="BE24" s="10">
        <f>1270282+256166</f>
        <v>1526448</v>
      </c>
      <c r="BF24" s="36">
        <v>796690</v>
      </c>
      <c r="BG24" s="36">
        <v>2597765</v>
      </c>
      <c r="BH24" s="10">
        <v>945044</v>
      </c>
      <c r="BI24" s="10">
        <v>1429021</v>
      </c>
      <c r="BJ24" s="10">
        <f>235892-123414</f>
        <v>112478</v>
      </c>
      <c r="BK24" s="10">
        <f>831788+384283</f>
        <v>1216071</v>
      </c>
      <c r="BL24" s="10">
        <v>1362</v>
      </c>
      <c r="BM24" s="10">
        <v>1362</v>
      </c>
      <c r="BN24" s="10">
        <f>255998-8296</f>
        <v>247702</v>
      </c>
      <c r="BO24" s="10">
        <f>498949-18369</f>
        <v>480580</v>
      </c>
      <c r="BP24" s="81">
        <f t="shared" si="6"/>
        <v>5578447.4199999999</v>
      </c>
      <c r="BQ24" s="81">
        <f t="shared" si="7"/>
        <v>24754771.800000001</v>
      </c>
    </row>
    <row r="25" spans="1:69" s="8" customFormat="1" x14ac:dyDescent="0.25">
      <c r="A25" s="3" t="s">
        <v>281</v>
      </c>
      <c r="B25" s="11">
        <f>B23-B24</f>
        <v>-280933</v>
      </c>
      <c r="C25" s="11">
        <f t="shared" ref="C25:AJ25" si="12">C23-C24</f>
        <v>-1877838</v>
      </c>
      <c r="D25" s="11">
        <f t="shared" si="12"/>
        <v>-580535</v>
      </c>
      <c r="E25" s="11">
        <f t="shared" si="12"/>
        <v>-2411601</v>
      </c>
      <c r="F25" s="11">
        <f t="shared" si="12"/>
        <v>611519</v>
      </c>
      <c r="G25" s="11">
        <f t="shared" si="12"/>
        <v>1767030</v>
      </c>
      <c r="H25" s="11">
        <f t="shared" si="12"/>
        <v>1187531</v>
      </c>
      <c r="I25" s="11">
        <f t="shared" si="12"/>
        <v>-1681697</v>
      </c>
      <c r="J25" s="11">
        <f t="shared" si="12"/>
        <v>3040601</v>
      </c>
      <c r="K25" s="11">
        <f t="shared" si="12"/>
        <v>9987770</v>
      </c>
      <c r="L25" s="11">
        <f t="shared" si="12"/>
        <v>-1003621</v>
      </c>
      <c r="M25" s="11">
        <f t="shared" si="12"/>
        <v>-2436271</v>
      </c>
      <c r="N25" s="11">
        <f t="shared" si="12"/>
        <v>614764</v>
      </c>
      <c r="O25" s="11">
        <f t="shared" si="12"/>
        <v>1494400</v>
      </c>
      <c r="P25" s="11">
        <f t="shared" si="12"/>
        <v>-423738</v>
      </c>
      <c r="Q25" s="11">
        <f t="shared" si="12"/>
        <v>-710515</v>
      </c>
      <c r="R25" s="11">
        <f t="shared" si="12"/>
        <v>-392345</v>
      </c>
      <c r="S25" s="11">
        <f t="shared" si="12"/>
        <v>-962865</v>
      </c>
      <c r="T25" s="11">
        <f t="shared" si="12"/>
        <v>-970794.53000000014</v>
      </c>
      <c r="U25" s="11">
        <f t="shared" si="12"/>
        <v>3238397.41</v>
      </c>
      <c r="V25" s="11">
        <f t="shared" si="12"/>
        <v>227260</v>
      </c>
      <c r="W25" s="11">
        <f t="shared" si="12"/>
        <v>995972</v>
      </c>
      <c r="X25" s="11">
        <f t="shared" si="12"/>
        <v>-291545</v>
      </c>
      <c r="Y25" s="11">
        <f t="shared" si="12"/>
        <v>-1752464</v>
      </c>
      <c r="Z25" s="11">
        <f t="shared" si="12"/>
        <v>1456093</v>
      </c>
      <c r="AA25" s="11">
        <f t="shared" si="12"/>
        <v>4477060</v>
      </c>
      <c r="AB25" s="11">
        <f t="shared" si="12"/>
        <v>2819259</v>
      </c>
      <c r="AC25" s="11">
        <f t="shared" si="12"/>
        <v>11937570</v>
      </c>
      <c r="AD25" s="11">
        <f t="shared" si="12"/>
        <v>198115</v>
      </c>
      <c r="AE25" s="11">
        <f t="shared" si="12"/>
        <v>2046969</v>
      </c>
      <c r="AF25" s="11">
        <f t="shared" si="12"/>
        <v>-91518</v>
      </c>
      <c r="AG25" s="11">
        <f t="shared" si="12"/>
        <v>-281230</v>
      </c>
      <c r="AH25" s="11">
        <f t="shared" si="12"/>
        <v>125915</v>
      </c>
      <c r="AI25" s="11">
        <f t="shared" si="12"/>
        <v>-1096012</v>
      </c>
      <c r="AJ25" s="11">
        <f t="shared" si="12"/>
        <v>-132808</v>
      </c>
      <c r="AK25" s="11">
        <f t="shared" ref="AK25:BO25" si="13">AK23-AK24</f>
        <v>-60108</v>
      </c>
      <c r="AL25" s="11">
        <f t="shared" si="13"/>
        <v>-416992</v>
      </c>
      <c r="AM25" s="11">
        <f t="shared" si="13"/>
        <v>-1337143</v>
      </c>
      <c r="AN25" s="11">
        <f t="shared" si="13"/>
        <v>392571</v>
      </c>
      <c r="AO25" s="11">
        <f t="shared" si="13"/>
        <v>-615520</v>
      </c>
      <c r="AP25" s="11">
        <f t="shared" si="13"/>
        <v>-19581602</v>
      </c>
      <c r="AQ25" s="11">
        <f t="shared" si="13"/>
        <v>-41083359</v>
      </c>
      <c r="AR25" s="11">
        <f t="shared" si="13"/>
        <v>1266401</v>
      </c>
      <c r="AS25" s="11">
        <f t="shared" si="13"/>
        <v>14177523</v>
      </c>
      <c r="AT25" s="11">
        <f t="shared" si="13"/>
        <v>-11357324</v>
      </c>
      <c r="AU25" s="11">
        <f t="shared" si="13"/>
        <v>-15241084</v>
      </c>
      <c r="AV25" s="11">
        <f t="shared" si="13"/>
        <v>-277134</v>
      </c>
      <c r="AW25" s="11">
        <f t="shared" si="13"/>
        <v>-654743</v>
      </c>
      <c r="AX25" s="11">
        <f t="shared" si="13"/>
        <v>731092</v>
      </c>
      <c r="AY25" s="11">
        <f t="shared" si="13"/>
        <v>2593616</v>
      </c>
      <c r="AZ25" s="11">
        <f t="shared" si="13"/>
        <v>329407</v>
      </c>
      <c r="BA25" s="11">
        <f t="shared" si="13"/>
        <v>656540</v>
      </c>
      <c r="BB25" s="11">
        <f t="shared" si="13"/>
        <v>3185392</v>
      </c>
      <c r="BC25" s="11">
        <f t="shared" si="13"/>
        <v>245468</v>
      </c>
      <c r="BD25" s="11">
        <f t="shared" si="13"/>
        <v>1351270</v>
      </c>
      <c r="BE25" s="11">
        <f t="shared" si="13"/>
        <v>4117607</v>
      </c>
      <c r="BF25" s="11">
        <f t="shared" si="13"/>
        <v>2157936</v>
      </c>
      <c r="BG25" s="11">
        <f t="shared" si="13"/>
        <v>7412762</v>
      </c>
      <c r="BH25" s="11">
        <f t="shared" si="13"/>
        <v>4846276</v>
      </c>
      <c r="BI25" s="11">
        <f t="shared" si="13"/>
        <v>2633049</v>
      </c>
      <c r="BJ25" s="11">
        <f t="shared" si="13"/>
        <v>394209</v>
      </c>
      <c r="BK25" s="11">
        <f t="shared" si="13"/>
        <v>3346066</v>
      </c>
      <c r="BL25" s="11">
        <f t="shared" si="13"/>
        <v>-1272266</v>
      </c>
      <c r="BM25" s="11">
        <f t="shared" si="13"/>
        <v>-14858541</v>
      </c>
      <c r="BN25" s="11">
        <f t="shared" si="13"/>
        <v>779292</v>
      </c>
      <c r="BO25" s="11">
        <f t="shared" si="13"/>
        <v>1510085</v>
      </c>
      <c r="BP25" s="76">
        <f t="shared" si="6"/>
        <v>-11358252.530000001</v>
      </c>
      <c r="BQ25" s="76">
        <f t="shared" si="7"/>
        <v>-14423106.59</v>
      </c>
    </row>
  </sheetData>
  <mergeCells count="34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BB3:BC3"/>
    <mergeCell ref="BD3:BE3"/>
    <mergeCell ref="BP3:BQ3"/>
    <mergeCell ref="BH3:BI3"/>
    <mergeCell ref="BJ3:BK3"/>
    <mergeCell ref="BL3:BM3"/>
    <mergeCell ref="BN3:BO3"/>
    <mergeCell ref="BF3:BG3"/>
    <mergeCell ref="AX3:AY3"/>
    <mergeCell ref="AZ3:BA3"/>
    <mergeCell ref="AV3:A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17" t="s">
        <v>300</v>
      </c>
    </row>
    <row r="2" spans="1:35" x14ac:dyDescent="0.25">
      <c r="A2" s="18" t="s">
        <v>46</v>
      </c>
    </row>
    <row r="3" spans="1:35" x14ac:dyDescent="0.25">
      <c r="A3" s="1" t="s">
        <v>0</v>
      </c>
      <c r="B3" s="38" t="s">
        <v>1</v>
      </c>
      <c r="C3" s="38" t="s">
        <v>2</v>
      </c>
      <c r="D3" s="38" t="s">
        <v>3</v>
      </c>
      <c r="E3" s="38" t="s">
        <v>295</v>
      </c>
      <c r="F3" s="38" t="s">
        <v>5</v>
      </c>
      <c r="G3" s="38" t="s">
        <v>6</v>
      </c>
      <c r="H3" s="38" t="s">
        <v>7</v>
      </c>
      <c r="I3" s="38" t="s">
        <v>309</v>
      </c>
      <c r="J3" s="38" t="s">
        <v>9</v>
      </c>
      <c r="K3" s="38" t="s">
        <v>10</v>
      </c>
      <c r="L3" s="38" t="s">
        <v>11</v>
      </c>
      <c r="M3" s="38" t="s">
        <v>12</v>
      </c>
      <c r="N3" s="38" t="s">
        <v>13</v>
      </c>
      <c r="O3" s="38" t="s">
        <v>14</v>
      </c>
      <c r="P3" s="38" t="s">
        <v>15</v>
      </c>
      <c r="Q3" s="38" t="s">
        <v>16</v>
      </c>
      <c r="R3" s="38" t="s">
        <v>17</v>
      </c>
      <c r="S3" s="38" t="s">
        <v>18</v>
      </c>
      <c r="T3" s="89" t="s">
        <v>293</v>
      </c>
      <c r="U3" s="38" t="s">
        <v>19</v>
      </c>
      <c r="V3" s="38" t="s">
        <v>20</v>
      </c>
      <c r="W3" s="38" t="s">
        <v>21</v>
      </c>
      <c r="X3" s="38" t="s">
        <v>22</v>
      </c>
      <c r="Y3" s="38" t="s">
        <v>23</v>
      </c>
      <c r="Z3" s="38" t="s">
        <v>24</v>
      </c>
      <c r="AA3" s="38" t="s">
        <v>25</v>
      </c>
      <c r="AB3" s="38" t="s">
        <v>26</v>
      </c>
      <c r="AC3" s="38" t="s">
        <v>27</v>
      </c>
      <c r="AD3" s="100" t="s">
        <v>28</v>
      </c>
      <c r="AE3" s="38" t="s">
        <v>29</v>
      </c>
      <c r="AF3" s="38" t="s">
        <v>30</v>
      </c>
      <c r="AG3" s="39" t="s">
        <v>31</v>
      </c>
      <c r="AH3" s="38" t="s">
        <v>32</v>
      </c>
      <c r="AI3" s="79" t="s">
        <v>33</v>
      </c>
    </row>
    <row r="4" spans="1:35" x14ac:dyDescent="0.25">
      <c r="A4" s="3" t="s">
        <v>244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76"/>
    </row>
    <row r="5" spans="1:35" x14ac:dyDescent="0.25">
      <c r="A5" s="26" t="s">
        <v>245</v>
      </c>
      <c r="B5" s="10">
        <v>5460000</v>
      </c>
      <c r="C5" s="10">
        <v>2988558</v>
      </c>
      <c r="D5" s="10">
        <v>2000000</v>
      </c>
      <c r="E5" s="10">
        <v>4056703</v>
      </c>
      <c r="F5" s="10">
        <v>1102273</v>
      </c>
      <c r="G5" s="10">
        <v>20059812</v>
      </c>
      <c r="H5" s="10">
        <v>2988057</v>
      </c>
      <c r="I5" s="10">
        <v>3100500</v>
      </c>
      <c r="J5" s="10">
        <v>3080000</v>
      </c>
      <c r="K5" s="10">
        <v>25000000</v>
      </c>
      <c r="L5" s="10">
        <v>9048037</v>
      </c>
      <c r="M5" s="10">
        <v>8168431</v>
      </c>
      <c r="N5" s="10">
        <v>6058421</v>
      </c>
      <c r="O5" s="10">
        <v>4544663</v>
      </c>
      <c r="P5" s="10">
        <v>2742183</v>
      </c>
      <c r="Q5" s="10">
        <v>3050000</v>
      </c>
      <c r="R5" s="10">
        <v>10859752</v>
      </c>
      <c r="S5" s="10">
        <v>1437500</v>
      </c>
      <c r="T5" s="10">
        <v>7289022</v>
      </c>
      <c r="U5" s="10">
        <v>11260000</v>
      </c>
      <c r="V5" s="10">
        <v>25000000</v>
      </c>
      <c r="W5" s="10">
        <v>8240000</v>
      </c>
      <c r="X5" s="10">
        <v>2500000</v>
      </c>
      <c r="Y5" s="10">
        <v>2070000</v>
      </c>
      <c r="Z5" s="10">
        <v>2515499</v>
      </c>
      <c r="AA5" s="10">
        <v>7279491</v>
      </c>
      <c r="AB5" s="10">
        <v>4490000</v>
      </c>
      <c r="AC5" s="10">
        <v>2155000</v>
      </c>
      <c r="AD5" s="36">
        <v>2591628</v>
      </c>
      <c r="AE5" s="10">
        <v>4906380</v>
      </c>
      <c r="AF5" s="10">
        <v>9944560</v>
      </c>
      <c r="AG5" s="10">
        <v>2000000</v>
      </c>
      <c r="AH5" s="10">
        <v>3681818</v>
      </c>
      <c r="AI5" s="77">
        <f t="shared" ref="AI5:AI10" si="0">SUM(B5:AH5)</f>
        <v>211668288</v>
      </c>
    </row>
    <row r="6" spans="1:35" x14ac:dyDescent="0.25">
      <c r="A6" s="26" t="s">
        <v>246</v>
      </c>
      <c r="B6" s="10"/>
      <c r="C6" s="10">
        <v>7621442</v>
      </c>
      <c r="D6" s="10">
        <v>39437983</v>
      </c>
      <c r="E6" s="10">
        <v>5558400</v>
      </c>
      <c r="F6" s="10">
        <v>58414267</v>
      </c>
      <c r="G6" s="10">
        <v>1720185</v>
      </c>
      <c r="H6" s="10">
        <v>13040879</v>
      </c>
      <c r="I6" s="10"/>
      <c r="J6" s="10"/>
      <c r="K6" s="10">
        <v>27149180.309999999</v>
      </c>
      <c r="L6" s="10">
        <v>784632</v>
      </c>
      <c r="M6" s="10">
        <v>8362512</v>
      </c>
      <c r="N6" s="10">
        <v>18283989</v>
      </c>
      <c r="O6" s="10">
        <v>56795679</v>
      </c>
      <c r="P6" s="10">
        <v>21840360</v>
      </c>
      <c r="Q6" s="10"/>
      <c r="R6" s="10">
        <v>6483749</v>
      </c>
      <c r="S6" s="10">
        <v>2381367</v>
      </c>
      <c r="T6" s="10">
        <v>3298637</v>
      </c>
      <c r="U6" s="10"/>
      <c r="V6" s="10">
        <v>146569</v>
      </c>
      <c r="W6" s="10">
        <v>166323810</v>
      </c>
      <c r="X6" s="10">
        <v>11389194</v>
      </c>
      <c r="Y6" s="10"/>
      <c r="Z6" s="10">
        <v>15946236</v>
      </c>
      <c r="AA6" s="10">
        <v>554856</v>
      </c>
      <c r="AB6" s="10">
        <v>7212751</v>
      </c>
      <c r="AC6" s="10">
        <v>19985883</v>
      </c>
      <c r="AD6" s="36">
        <v>17368291</v>
      </c>
      <c r="AE6" s="10">
        <v>14131603</v>
      </c>
      <c r="AF6" s="10">
        <v>15421407</v>
      </c>
      <c r="AG6" s="10">
        <v>13105141</v>
      </c>
      <c r="AH6" s="10">
        <v>6374073</v>
      </c>
      <c r="AI6" s="77">
        <f t="shared" si="0"/>
        <v>559133075.30999994</v>
      </c>
    </row>
    <row r="7" spans="1:35" x14ac:dyDescent="0.25">
      <c r="A7" s="26" t="s">
        <v>247</v>
      </c>
      <c r="B7" s="10">
        <v>18</v>
      </c>
      <c r="C7" s="10">
        <v>2180</v>
      </c>
      <c r="D7" s="10">
        <v>-587409</v>
      </c>
      <c r="E7" s="10">
        <v>882</v>
      </c>
      <c r="F7" s="10">
        <v>-3095474</v>
      </c>
      <c r="G7" s="10">
        <f>-667-4064</f>
        <v>-4731</v>
      </c>
      <c r="H7" s="10">
        <f>-23274-264865</f>
        <v>-288139</v>
      </c>
      <c r="I7" s="10">
        <f>70+56</f>
        <v>126</v>
      </c>
      <c r="J7" s="10">
        <f>-583-22221</f>
        <v>-22804</v>
      </c>
      <c r="K7" s="10"/>
      <c r="L7" s="10">
        <f>-190007-41615</f>
        <v>-231622</v>
      </c>
      <c r="M7" s="10">
        <v>-176883</v>
      </c>
      <c r="N7" s="10">
        <f>-95750-660295</f>
        <v>-756045</v>
      </c>
      <c r="O7" s="10">
        <v>-4286298</v>
      </c>
      <c r="P7" s="10">
        <f>-21013-5029</f>
        <v>-26042</v>
      </c>
      <c r="Q7" s="10">
        <f>-12384-39342</f>
        <v>-51726</v>
      </c>
      <c r="R7" s="10">
        <f>141+469</f>
        <v>610</v>
      </c>
      <c r="S7" s="10">
        <f>118+1073</f>
        <v>1191</v>
      </c>
      <c r="T7" s="10">
        <v>652</v>
      </c>
      <c r="U7" s="10">
        <v>183</v>
      </c>
      <c r="V7" s="10">
        <v>-16572165</v>
      </c>
      <c r="W7" s="10">
        <v>102457570</v>
      </c>
      <c r="X7" s="10">
        <v>22610019</v>
      </c>
      <c r="Y7" s="10">
        <v>2874</v>
      </c>
      <c r="Z7" s="10">
        <f>-132739-852392</f>
        <v>-985131</v>
      </c>
      <c r="AA7" s="10">
        <v>-26789</v>
      </c>
      <c r="AB7" s="10">
        <f>-209542-865140</f>
        <v>-1074682</v>
      </c>
      <c r="AC7" s="10">
        <f>24054-857146</f>
        <v>-833092</v>
      </c>
      <c r="AD7" s="10">
        <v>-325142</v>
      </c>
      <c r="AE7" s="10">
        <v>30883</v>
      </c>
      <c r="AF7" s="10">
        <f>-2754493-513424</f>
        <v>-3267917</v>
      </c>
      <c r="AG7" s="10">
        <f>-401469-5774977</f>
        <v>-6176446</v>
      </c>
      <c r="AH7" s="10">
        <v>-70998</v>
      </c>
      <c r="AI7" s="77">
        <f t="shared" si="0"/>
        <v>86247653</v>
      </c>
    </row>
    <row r="8" spans="1:35" x14ac:dyDescent="0.25">
      <c r="A8" s="26" t="s">
        <v>248</v>
      </c>
      <c r="B8" s="10"/>
      <c r="C8" s="10"/>
      <c r="D8" s="10"/>
      <c r="E8" s="10">
        <v>1540000</v>
      </c>
      <c r="F8" s="10"/>
      <c r="G8" s="10">
        <v>2550000</v>
      </c>
      <c r="H8" s="10">
        <v>1000000</v>
      </c>
      <c r="I8" s="10"/>
      <c r="J8" s="10"/>
      <c r="K8" s="10"/>
      <c r="L8" s="10"/>
      <c r="M8" s="10"/>
      <c r="N8" s="10">
        <v>3500000</v>
      </c>
      <c r="O8" s="10">
        <v>4850000</v>
      </c>
      <c r="P8" s="10"/>
      <c r="Q8" s="10"/>
      <c r="R8" s="10"/>
      <c r="S8" s="10">
        <v>8423</v>
      </c>
      <c r="T8" s="10">
        <v>430000</v>
      </c>
      <c r="U8" s="10"/>
      <c r="V8" s="10">
        <v>8950000</v>
      </c>
      <c r="W8" s="10"/>
      <c r="X8" s="10">
        <v>7500000</v>
      </c>
      <c r="Y8" s="10"/>
      <c r="Z8" s="10">
        <v>2300000</v>
      </c>
      <c r="AA8" s="10"/>
      <c r="AB8" s="10">
        <v>1000000</v>
      </c>
      <c r="AC8" s="10"/>
      <c r="AD8" s="10"/>
      <c r="AE8" s="10">
        <v>2500000</v>
      </c>
      <c r="AF8" s="10">
        <v>3630000</v>
      </c>
      <c r="AG8" s="10">
        <v>9000000</v>
      </c>
      <c r="AH8" s="10"/>
      <c r="AI8" s="77">
        <f t="shared" si="0"/>
        <v>48758423</v>
      </c>
    </row>
    <row r="9" spans="1:35" x14ac:dyDescent="0.25">
      <c r="A9" s="26" t="s">
        <v>44</v>
      </c>
      <c r="B9" s="10">
        <f>B10-B8-B7-B6-B5</f>
        <v>0</v>
      </c>
      <c r="C9" s="10">
        <f t="shared" ref="C9:AH9" si="1">C10-C8-C7-C6-C5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10">
        <f t="shared" si="1"/>
        <v>3000000.0000000037</v>
      </c>
      <c r="L9" s="10">
        <f t="shared" si="1"/>
        <v>208283</v>
      </c>
      <c r="M9" s="10">
        <f t="shared" si="1"/>
        <v>0</v>
      </c>
      <c r="N9" s="10">
        <f t="shared" si="1"/>
        <v>0</v>
      </c>
      <c r="O9" s="10">
        <f t="shared" si="1"/>
        <v>2145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554491</v>
      </c>
      <c r="T9" s="10">
        <f t="shared" si="1"/>
        <v>-1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2253</v>
      </c>
      <c r="AB9" s="10">
        <f t="shared" si="1"/>
        <v>0</v>
      </c>
      <c r="AC9" s="10">
        <f t="shared" si="1"/>
        <v>0</v>
      </c>
      <c r="AD9" s="10">
        <f t="shared" si="1"/>
        <v>0</v>
      </c>
      <c r="AE9" s="10">
        <f t="shared" si="1"/>
        <v>0</v>
      </c>
      <c r="AF9" s="10">
        <f t="shared" si="1"/>
        <v>37931</v>
      </c>
      <c r="AG9" s="10">
        <f t="shared" si="1"/>
        <v>0</v>
      </c>
      <c r="AH9" s="10">
        <f t="shared" si="1"/>
        <v>0</v>
      </c>
      <c r="AI9" s="77">
        <f t="shared" si="0"/>
        <v>3805102.0000000037</v>
      </c>
    </row>
    <row r="10" spans="1:35" s="8" customFormat="1" x14ac:dyDescent="0.25">
      <c r="A10" s="3" t="s">
        <v>54</v>
      </c>
      <c r="B10" s="11">
        <v>5460018</v>
      </c>
      <c r="C10" s="11">
        <v>10612180</v>
      </c>
      <c r="D10" s="11">
        <v>40850574</v>
      </c>
      <c r="E10" s="11">
        <v>11155985</v>
      </c>
      <c r="F10" s="11">
        <v>56421066</v>
      </c>
      <c r="G10" s="11">
        <v>24325266</v>
      </c>
      <c r="H10" s="11">
        <v>16740797</v>
      </c>
      <c r="I10" s="11">
        <v>3100626</v>
      </c>
      <c r="J10" s="11">
        <v>3057196</v>
      </c>
      <c r="K10" s="11">
        <v>55149180.310000002</v>
      </c>
      <c r="L10" s="11">
        <v>9809330</v>
      </c>
      <c r="M10" s="11">
        <v>16354060</v>
      </c>
      <c r="N10" s="11">
        <v>27086365</v>
      </c>
      <c r="O10" s="11">
        <v>61906189</v>
      </c>
      <c r="P10" s="11">
        <v>24556501</v>
      </c>
      <c r="Q10" s="11">
        <v>2998274</v>
      </c>
      <c r="R10" s="11">
        <v>17344111</v>
      </c>
      <c r="S10" s="11">
        <v>4382972</v>
      </c>
      <c r="T10" s="11">
        <v>11018310</v>
      </c>
      <c r="U10" s="11">
        <v>11260183</v>
      </c>
      <c r="V10" s="11">
        <v>17524404</v>
      </c>
      <c r="W10" s="11">
        <v>277021380</v>
      </c>
      <c r="X10" s="11">
        <v>43999213</v>
      </c>
      <c r="Y10" s="11">
        <v>2072874</v>
      </c>
      <c r="Z10" s="11">
        <v>19776604</v>
      </c>
      <c r="AA10" s="11">
        <v>7809811</v>
      </c>
      <c r="AB10" s="11">
        <v>11628069</v>
      </c>
      <c r="AC10" s="11">
        <v>21307791</v>
      </c>
      <c r="AD10" s="11">
        <v>19634777</v>
      </c>
      <c r="AE10" s="11">
        <v>21568866</v>
      </c>
      <c r="AF10" s="11">
        <v>25765981</v>
      </c>
      <c r="AG10" s="11">
        <v>17928695</v>
      </c>
      <c r="AH10" s="11">
        <v>9984893</v>
      </c>
      <c r="AI10" s="76">
        <f t="shared" si="0"/>
        <v>909612541.30999994</v>
      </c>
    </row>
    <row r="11" spans="1:35" s="8" customFormat="1" x14ac:dyDescent="0.25">
      <c r="A11" s="3" t="s">
        <v>249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76"/>
    </row>
    <row r="12" spans="1:35" x14ac:dyDescent="0.25">
      <c r="A12" s="26" t="s">
        <v>250</v>
      </c>
      <c r="B12" s="10">
        <v>1788763</v>
      </c>
      <c r="C12" s="10">
        <v>2311045</v>
      </c>
      <c r="D12" s="10"/>
      <c r="E12" s="10">
        <v>5247311</v>
      </c>
      <c r="F12" s="10">
        <v>32131766</v>
      </c>
      <c r="G12" s="10">
        <v>6719025</v>
      </c>
      <c r="H12" s="10">
        <v>7284891</v>
      </c>
      <c r="I12" s="10">
        <v>1435961</v>
      </c>
      <c r="J12" s="10">
        <v>1233905</v>
      </c>
      <c r="K12" s="10"/>
      <c r="L12" s="10"/>
      <c r="M12" s="10">
        <v>6875502</v>
      </c>
      <c r="N12" s="10">
        <v>14566590</v>
      </c>
      <c r="O12" s="10">
        <v>58595714</v>
      </c>
      <c r="P12" s="10">
        <v>18686597</v>
      </c>
      <c r="Q12" s="10">
        <v>1533365</v>
      </c>
      <c r="R12" s="10">
        <v>6224072</v>
      </c>
      <c r="S12" s="10">
        <v>3139187</v>
      </c>
      <c r="T12" s="10">
        <v>2185023</v>
      </c>
      <c r="U12" s="10">
        <v>4028612</v>
      </c>
      <c r="V12" s="10"/>
      <c r="W12" s="10"/>
      <c r="X12" s="10"/>
      <c r="Y12" s="10">
        <v>1311741</v>
      </c>
      <c r="Z12" s="10">
        <v>14581294</v>
      </c>
      <c r="AA12" s="10"/>
      <c r="AB12" s="10">
        <v>11201731</v>
      </c>
      <c r="AC12" s="10">
        <v>17926682</v>
      </c>
      <c r="AD12" s="10"/>
      <c r="AE12" s="10"/>
      <c r="AF12" s="10">
        <v>18685264</v>
      </c>
      <c r="AG12" s="10"/>
      <c r="AH12" s="10">
        <v>7990634</v>
      </c>
      <c r="AI12" s="77">
        <f t="shared" ref="AI12:AI17" si="2">SUM(B12:AH12)</f>
        <v>245684675</v>
      </c>
    </row>
    <row r="13" spans="1:35" x14ac:dyDescent="0.25">
      <c r="A13" s="26" t="s">
        <v>251</v>
      </c>
      <c r="B13" s="10">
        <v>2416664</v>
      </c>
      <c r="C13" s="10">
        <v>6049433</v>
      </c>
      <c r="D13" s="10"/>
      <c r="E13" s="10">
        <v>13654815</v>
      </c>
      <c r="F13" s="10">
        <v>150913828</v>
      </c>
      <c r="G13" s="10">
        <v>40933625</v>
      </c>
      <c r="H13" s="10">
        <v>83499757</v>
      </c>
      <c r="I13" s="10">
        <v>1732791</v>
      </c>
      <c r="J13" s="10">
        <v>1796745</v>
      </c>
      <c r="K13" s="10"/>
      <c r="L13" s="10"/>
      <c r="M13" s="10">
        <v>27880110</v>
      </c>
      <c r="N13" s="10">
        <v>100451268</v>
      </c>
      <c r="O13" s="10">
        <v>204671553</v>
      </c>
      <c r="P13" s="10">
        <v>78088612</v>
      </c>
      <c r="Q13" s="10">
        <v>5232491</v>
      </c>
      <c r="R13" s="10">
        <v>20726251</v>
      </c>
      <c r="S13" s="10">
        <v>19708881</v>
      </c>
      <c r="T13" s="10">
        <v>3868095</v>
      </c>
      <c r="U13" s="10">
        <v>6643465</v>
      </c>
      <c r="V13" s="10"/>
      <c r="W13" s="10"/>
      <c r="X13" s="10"/>
      <c r="Y13" s="10">
        <v>3341217</v>
      </c>
      <c r="Z13" s="10">
        <v>93634685</v>
      </c>
      <c r="AA13" s="10"/>
      <c r="AB13" s="10">
        <v>46248735</v>
      </c>
      <c r="AC13" s="10">
        <v>56342978</v>
      </c>
      <c r="AD13" s="10"/>
      <c r="AE13" s="10"/>
      <c r="AF13" s="10">
        <v>100245521</v>
      </c>
      <c r="AG13" s="10"/>
      <c r="AH13" s="10">
        <v>22210088</v>
      </c>
      <c r="AI13" s="77">
        <f t="shared" si="2"/>
        <v>1090291608</v>
      </c>
    </row>
    <row r="14" spans="1:35" s="44" customFormat="1" x14ac:dyDescent="0.25">
      <c r="A14" s="19" t="s">
        <v>252</v>
      </c>
      <c r="B14" s="43">
        <f>B12+B13</f>
        <v>4205427</v>
      </c>
      <c r="C14" s="43">
        <f>C12+C13</f>
        <v>8360478</v>
      </c>
      <c r="D14" s="43">
        <v>74407526</v>
      </c>
      <c r="E14" s="43">
        <f t="shared" ref="E14:AH14" si="3">E12+E13</f>
        <v>18902126</v>
      </c>
      <c r="F14" s="43"/>
      <c r="G14" s="43">
        <f t="shared" si="3"/>
        <v>47652650</v>
      </c>
      <c r="H14" s="43">
        <f t="shared" si="3"/>
        <v>90784648</v>
      </c>
      <c r="I14" s="43">
        <f t="shared" si="3"/>
        <v>3168752</v>
      </c>
      <c r="J14" s="43">
        <f t="shared" si="3"/>
        <v>3030650</v>
      </c>
      <c r="K14" s="43">
        <v>110446336.65000001</v>
      </c>
      <c r="L14" s="43">
        <v>43259511</v>
      </c>
      <c r="M14" s="43">
        <f t="shared" si="3"/>
        <v>34755612</v>
      </c>
      <c r="N14" s="43">
        <f t="shared" si="3"/>
        <v>115017858</v>
      </c>
      <c r="O14" s="43">
        <f t="shared" si="3"/>
        <v>263267267</v>
      </c>
      <c r="P14" s="43">
        <f t="shared" si="3"/>
        <v>96775209</v>
      </c>
      <c r="Q14" s="43">
        <f t="shared" si="3"/>
        <v>6765856</v>
      </c>
      <c r="R14" s="43">
        <f t="shared" si="3"/>
        <v>26950323</v>
      </c>
      <c r="S14" s="43">
        <f t="shared" si="3"/>
        <v>22848068</v>
      </c>
      <c r="T14" s="43">
        <f t="shared" si="3"/>
        <v>6053118</v>
      </c>
      <c r="U14" s="43">
        <f t="shared" si="3"/>
        <v>10672077</v>
      </c>
      <c r="V14" s="43">
        <v>220521251</v>
      </c>
      <c r="W14" s="43">
        <v>513787907</v>
      </c>
      <c r="X14" s="43">
        <v>206732977</v>
      </c>
      <c r="Y14" s="43">
        <f t="shared" si="3"/>
        <v>4652958</v>
      </c>
      <c r="Z14" s="43">
        <f t="shared" si="3"/>
        <v>108215979</v>
      </c>
      <c r="AA14" s="43">
        <v>17757277</v>
      </c>
      <c r="AB14" s="43">
        <f t="shared" si="3"/>
        <v>57450466</v>
      </c>
      <c r="AC14" s="43">
        <f t="shared" si="3"/>
        <v>74269660</v>
      </c>
      <c r="AD14" s="43">
        <v>95099860</v>
      </c>
      <c r="AE14" s="43">
        <v>42899512</v>
      </c>
      <c r="AF14" s="43">
        <f t="shared" si="3"/>
        <v>118930785</v>
      </c>
      <c r="AG14" s="43">
        <v>279307452</v>
      </c>
      <c r="AH14" s="43">
        <f t="shared" si="3"/>
        <v>30200722</v>
      </c>
      <c r="AI14" s="78">
        <f t="shared" si="2"/>
        <v>2757150298.6500001</v>
      </c>
    </row>
    <row r="15" spans="1:35" x14ac:dyDescent="0.25">
      <c r="A15" s="26" t="s">
        <v>253</v>
      </c>
      <c r="B15" s="10"/>
      <c r="C15" s="10"/>
      <c r="D15" s="10">
        <v>140137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v>44987</v>
      </c>
      <c r="T15" s="10"/>
      <c r="U15" s="10"/>
      <c r="V15" s="10">
        <v>368593</v>
      </c>
      <c r="W15" s="10">
        <v>3130866</v>
      </c>
      <c r="X15" s="10">
        <v>1447670</v>
      </c>
      <c r="Y15" s="10"/>
      <c r="Z15" s="10"/>
      <c r="AA15" s="10"/>
      <c r="AB15" s="10"/>
      <c r="AC15" s="10"/>
      <c r="AD15" s="10"/>
      <c r="AE15" s="10"/>
      <c r="AF15" s="10"/>
      <c r="AG15" s="10">
        <v>1757478</v>
      </c>
      <c r="AH15" s="10"/>
      <c r="AI15" s="77">
        <f t="shared" si="2"/>
        <v>6889731</v>
      </c>
    </row>
    <row r="16" spans="1:35" x14ac:dyDescent="0.25">
      <c r="A16" s="26" t="s">
        <v>254</v>
      </c>
      <c r="B16" s="10">
        <v>73410</v>
      </c>
      <c r="C16" s="10">
        <v>746391</v>
      </c>
      <c r="D16" s="10">
        <v>2507672</v>
      </c>
      <c r="E16" s="10">
        <v>401404</v>
      </c>
      <c r="F16" s="10">
        <v>4295572</v>
      </c>
      <c r="G16" s="10">
        <v>185252</v>
      </c>
      <c r="H16" s="10">
        <v>723614</v>
      </c>
      <c r="I16" s="10">
        <v>538443</v>
      </c>
      <c r="J16" s="10">
        <v>121305</v>
      </c>
      <c r="K16" s="10">
        <v>2934915.15</v>
      </c>
      <c r="L16" s="10">
        <v>197996</v>
      </c>
      <c r="M16" s="10">
        <v>874431</v>
      </c>
      <c r="N16" s="10">
        <v>2430110</v>
      </c>
      <c r="O16" s="10">
        <v>6765814</v>
      </c>
      <c r="P16" s="10">
        <v>660456</v>
      </c>
      <c r="Q16" s="10">
        <v>76693</v>
      </c>
      <c r="R16" s="10">
        <v>246453</v>
      </c>
      <c r="S16" s="10">
        <v>269573</v>
      </c>
      <c r="T16" s="10">
        <v>247987</v>
      </c>
      <c r="U16" s="10">
        <v>411839</v>
      </c>
      <c r="V16" s="10">
        <v>3720619</v>
      </c>
      <c r="W16" s="10">
        <v>4915408</v>
      </c>
      <c r="X16" s="10">
        <v>5978881</v>
      </c>
      <c r="Y16" s="10">
        <v>42588</v>
      </c>
      <c r="Z16" s="10">
        <v>411938</v>
      </c>
      <c r="AA16" s="10">
        <v>545211</v>
      </c>
      <c r="AB16" s="10">
        <v>314251</v>
      </c>
      <c r="AC16" s="10">
        <v>1116747</v>
      </c>
      <c r="AD16" s="36">
        <v>492249</v>
      </c>
      <c r="AE16" s="10">
        <v>1018613</v>
      </c>
      <c r="AF16" s="10">
        <v>2070814</v>
      </c>
      <c r="AG16" s="10">
        <v>2719898</v>
      </c>
      <c r="AH16" s="10">
        <v>404026</v>
      </c>
      <c r="AI16" s="77">
        <f t="shared" si="2"/>
        <v>48460573.149999999</v>
      </c>
    </row>
    <row r="17" spans="1:35" x14ac:dyDescent="0.25">
      <c r="A17" s="26" t="s">
        <v>255</v>
      </c>
      <c r="B17" s="10"/>
      <c r="C17" s="10"/>
      <c r="D17" s="10">
        <v>63377</v>
      </c>
      <c r="E17" s="10">
        <v>149806</v>
      </c>
      <c r="F17" s="10">
        <v>637957</v>
      </c>
      <c r="G17" s="10"/>
      <c r="H17" s="10">
        <v>1601757</v>
      </c>
      <c r="I17" s="10"/>
      <c r="J17" s="10"/>
      <c r="K17" s="10">
        <v>412881.21</v>
      </c>
      <c r="L17" s="10">
        <v>338404</v>
      </c>
      <c r="M17" s="10"/>
      <c r="N17" s="10">
        <v>449484</v>
      </c>
      <c r="O17" s="10">
        <v>3063067</v>
      </c>
      <c r="P17" s="10">
        <v>433800</v>
      </c>
      <c r="Q17" s="10"/>
      <c r="R17" s="10"/>
      <c r="S17" s="10">
        <v>204235</v>
      </c>
      <c r="T17" s="10"/>
      <c r="U17" s="10"/>
      <c r="V17" s="10"/>
      <c r="W17" s="10">
        <v>2380700</v>
      </c>
      <c r="X17" s="10"/>
      <c r="Y17" s="10">
        <v>61533</v>
      </c>
      <c r="Z17" s="10">
        <v>372735</v>
      </c>
      <c r="AA17" s="10"/>
      <c r="AB17" s="10">
        <v>284672</v>
      </c>
      <c r="AC17" s="10">
        <v>165999</v>
      </c>
      <c r="AD17" s="36">
        <v>291758</v>
      </c>
      <c r="AE17" s="10">
        <v>70014</v>
      </c>
      <c r="AF17" s="10"/>
      <c r="AG17" s="10"/>
      <c r="AH17" s="10">
        <v>11605</v>
      </c>
      <c r="AI17" s="77">
        <f t="shared" si="2"/>
        <v>10993784.210000001</v>
      </c>
    </row>
    <row r="18" spans="1:35" x14ac:dyDescent="0.25">
      <c r="A18" s="19" t="s">
        <v>256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77"/>
    </row>
    <row r="19" spans="1:35" x14ac:dyDescent="0.25">
      <c r="A19" s="26" t="s">
        <v>257</v>
      </c>
      <c r="B19" s="10">
        <v>134656</v>
      </c>
      <c r="C19" s="10">
        <v>351657</v>
      </c>
      <c r="D19" s="10">
        <v>68960217</v>
      </c>
      <c r="E19" s="10">
        <v>2485949</v>
      </c>
      <c r="F19" s="10">
        <v>5759677</v>
      </c>
      <c r="G19" s="10">
        <v>2448776</v>
      </c>
      <c r="H19" s="10">
        <v>415269</v>
      </c>
      <c r="I19" s="10">
        <v>52202</v>
      </c>
      <c r="J19" s="10">
        <v>45509</v>
      </c>
      <c r="K19" s="10">
        <v>11008330.75</v>
      </c>
      <c r="L19" s="10">
        <v>2135655</v>
      </c>
      <c r="M19" s="10">
        <v>742532</v>
      </c>
      <c r="N19" s="10">
        <v>7323506</v>
      </c>
      <c r="O19" s="10">
        <v>326362</v>
      </c>
      <c r="P19" s="10">
        <v>3699597</v>
      </c>
      <c r="Q19" s="10">
        <v>77181</v>
      </c>
      <c r="R19" s="10">
        <v>270724</v>
      </c>
      <c r="S19" s="10">
        <v>136829</v>
      </c>
      <c r="T19" s="10">
        <v>164319</v>
      </c>
      <c r="U19" s="10">
        <v>189269</v>
      </c>
      <c r="V19" s="10">
        <v>6984621</v>
      </c>
      <c r="W19" s="10">
        <v>111717133</v>
      </c>
      <c r="X19" s="10">
        <v>31226763</v>
      </c>
      <c r="Y19" s="10">
        <v>176449</v>
      </c>
      <c r="Z19" s="10">
        <v>920659</v>
      </c>
      <c r="AA19" s="10">
        <v>558574</v>
      </c>
      <c r="AB19" s="10">
        <v>594791</v>
      </c>
      <c r="AC19" s="10">
        <v>2121096</v>
      </c>
      <c r="AD19" s="36">
        <v>334447</v>
      </c>
      <c r="AE19" s="10">
        <v>6114361</v>
      </c>
      <c r="AF19" s="10">
        <v>3494600</v>
      </c>
      <c r="AG19" s="10">
        <v>17350234</v>
      </c>
      <c r="AH19" s="10">
        <v>838403</v>
      </c>
      <c r="AI19" s="77">
        <f t="shared" ref="AI19:AI28" si="4">SUM(B19:AH19)</f>
        <v>289160347.75</v>
      </c>
    </row>
    <row r="20" spans="1:35" x14ac:dyDescent="0.25">
      <c r="A20" s="26" t="s">
        <v>258</v>
      </c>
      <c r="B20" s="10">
        <v>925302</v>
      </c>
      <c r="C20" s="10">
        <v>946371</v>
      </c>
      <c r="D20" s="10">
        <v>33680942</v>
      </c>
      <c r="E20" s="10">
        <v>1550991</v>
      </c>
      <c r="F20" s="10">
        <v>24918301</v>
      </c>
      <c r="G20" s="10">
        <v>7746394</v>
      </c>
      <c r="H20" s="10">
        <v>11893957</v>
      </c>
      <c r="I20" s="10">
        <v>265779</v>
      </c>
      <c r="J20" s="10">
        <v>448097</v>
      </c>
      <c r="K20" s="10">
        <v>9427327.8100000005</v>
      </c>
      <c r="L20" s="10">
        <v>8706043</v>
      </c>
      <c r="M20" s="10">
        <v>2558240</v>
      </c>
      <c r="N20" s="10">
        <v>22443671</v>
      </c>
      <c r="O20" s="10">
        <v>96998375</v>
      </c>
      <c r="P20" s="10">
        <v>23047878</v>
      </c>
      <c r="Q20" s="10">
        <v>462996</v>
      </c>
      <c r="R20" s="10">
        <v>2518796</v>
      </c>
      <c r="S20" s="10">
        <v>1638123</v>
      </c>
      <c r="T20" s="10">
        <v>398147</v>
      </c>
      <c r="U20" s="10">
        <v>1099936</v>
      </c>
      <c r="V20" s="10">
        <v>77310819</v>
      </c>
      <c r="W20" s="10">
        <v>110161322</v>
      </c>
      <c r="X20" s="10">
        <v>116735926</v>
      </c>
      <c r="Y20" s="10">
        <v>301233</v>
      </c>
      <c r="Z20" s="10">
        <v>17943467</v>
      </c>
      <c r="AA20" s="10">
        <v>1141311</v>
      </c>
      <c r="AB20" s="10">
        <v>9065481</v>
      </c>
      <c r="AC20" s="10">
        <v>15274294</v>
      </c>
      <c r="AD20" s="36">
        <v>5267606</v>
      </c>
      <c r="AE20" s="10">
        <v>9832542</v>
      </c>
      <c r="AF20" s="10">
        <v>10679019</v>
      </c>
      <c r="AG20" s="10">
        <v>58892848</v>
      </c>
      <c r="AH20" s="10">
        <v>5822091</v>
      </c>
      <c r="AI20" s="77">
        <f t="shared" si="4"/>
        <v>690103625.80999994</v>
      </c>
    </row>
    <row r="21" spans="1:35" s="44" customFormat="1" x14ac:dyDescent="0.25">
      <c r="A21" s="19" t="s">
        <v>259</v>
      </c>
      <c r="B21" s="43">
        <f>B19+B20</f>
        <v>1059958</v>
      </c>
      <c r="C21" s="43">
        <f t="shared" ref="C21:AH21" si="5">C19+C20</f>
        <v>1298028</v>
      </c>
      <c r="D21" s="43">
        <f t="shared" si="5"/>
        <v>102641159</v>
      </c>
      <c r="E21" s="43">
        <f t="shared" si="5"/>
        <v>4036940</v>
      </c>
      <c r="F21" s="43">
        <f t="shared" si="5"/>
        <v>30677978</v>
      </c>
      <c r="G21" s="43">
        <f t="shared" si="5"/>
        <v>10195170</v>
      </c>
      <c r="H21" s="43">
        <f t="shared" si="5"/>
        <v>12309226</v>
      </c>
      <c r="I21" s="43">
        <f t="shared" si="5"/>
        <v>317981</v>
      </c>
      <c r="J21" s="43">
        <f t="shared" si="5"/>
        <v>493606</v>
      </c>
      <c r="K21" s="43">
        <f t="shared" si="5"/>
        <v>20435658.560000002</v>
      </c>
      <c r="L21" s="43">
        <f t="shared" si="5"/>
        <v>10841698</v>
      </c>
      <c r="M21" s="43">
        <f t="shared" si="5"/>
        <v>3300772</v>
      </c>
      <c r="N21" s="43">
        <f t="shared" si="5"/>
        <v>29767177</v>
      </c>
      <c r="O21" s="43">
        <f t="shared" si="5"/>
        <v>97324737</v>
      </c>
      <c r="P21" s="43">
        <f t="shared" si="5"/>
        <v>26747475</v>
      </c>
      <c r="Q21" s="43">
        <f t="shared" si="5"/>
        <v>540177</v>
      </c>
      <c r="R21" s="43">
        <f t="shared" si="5"/>
        <v>2789520</v>
      </c>
      <c r="S21" s="43">
        <f t="shared" si="5"/>
        <v>1774952</v>
      </c>
      <c r="T21" s="43">
        <f t="shared" si="5"/>
        <v>562466</v>
      </c>
      <c r="U21" s="43">
        <f t="shared" si="5"/>
        <v>1289205</v>
      </c>
      <c r="V21" s="43">
        <f t="shared" si="5"/>
        <v>84295440</v>
      </c>
      <c r="W21" s="43">
        <f t="shared" si="5"/>
        <v>221878455</v>
      </c>
      <c r="X21" s="43">
        <f t="shared" si="5"/>
        <v>147962689</v>
      </c>
      <c r="Y21" s="43">
        <f t="shared" si="5"/>
        <v>477682</v>
      </c>
      <c r="Z21" s="43">
        <f t="shared" si="5"/>
        <v>18864126</v>
      </c>
      <c r="AA21" s="43">
        <f t="shared" si="5"/>
        <v>1699885</v>
      </c>
      <c r="AB21" s="43">
        <f t="shared" si="5"/>
        <v>9660272</v>
      </c>
      <c r="AC21" s="43">
        <f t="shared" si="5"/>
        <v>17395390</v>
      </c>
      <c r="AD21" s="43">
        <f t="shared" si="5"/>
        <v>5602053</v>
      </c>
      <c r="AE21" s="43">
        <f t="shared" si="5"/>
        <v>15946903</v>
      </c>
      <c r="AF21" s="43">
        <f t="shared" si="5"/>
        <v>14173619</v>
      </c>
      <c r="AG21" s="43">
        <f t="shared" si="5"/>
        <v>76243082</v>
      </c>
      <c r="AH21" s="43">
        <f t="shared" si="5"/>
        <v>6660494</v>
      </c>
      <c r="AI21" s="78">
        <f t="shared" si="4"/>
        <v>979263973.55999994</v>
      </c>
    </row>
    <row r="22" spans="1:35" x14ac:dyDescent="0.25">
      <c r="A22" s="26" t="s">
        <v>260</v>
      </c>
      <c r="B22" s="10">
        <v>2443926</v>
      </c>
      <c r="C22" s="10">
        <v>3858322</v>
      </c>
      <c r="D22" s="10">
        <v>127705429</v>
      </c>
      <c r="E22" s="10">
        <v>6744423</v>
      </c>
      <c r="F22" s="10">
        <v>119732192</v>
      </c>
      <c r="G22" s="10">
        <v>39492924</v>
      </c>
      <c r="H22" s="10">
        <v>66194402</v>
      </c>
      <c r="I22" s="10">
        <v>1147466</v>
      </c>
      <c r="J22" s="10">
        <v>1431108</v>
      </c>
      <c r="K22" s="10">
        <v>71871857.810000002</v>
      </c>
      <c r="L22" s="10">
        <v>32949953</v>
      </c>
      <c r="M22" s="10">
        <v>19304079</v>
      </c>
      <c r="N22" s="10">
        <v>89161552</v>
      </c>
      <c r="O22" s="10">
        <v>249798046</v>
      </c>
      <c r="P22" s="10">
        <v>78566033</v>
      </c>
      <c r="Q22" s="10">
        <v>3186599</v>
      </c>
      <c r="R22" s="10">
        <v>15714386</v>
      </c>
      <c r="S22" s="10">
        <v>16456486</v>
      </c>
      <c r="T22" s="10">
        <v>1882716</v>
      </c>
      <c r="U22" s="10">
        <v>3892221</v>
      </c>
      <c r="V22" s="10">
        <v>287319407</v>
      </c>
      <c r="W22" s="10">
        <v>356355473</v>
      </c>
      <c r="X22" s="10">
        <v>262455990</v>
      </c>
      <c r="Y22" s="10">
        <v>2712165</v>
      </c>
      <c r="Z22" s="10">
        <v>94061085</v>
      </c>
      <c r="AA22" s="10">
        <v>6811872</v>
      </c>
      <c r="AB22" s="10">
        <v>43917797</v>
      </c>
      <c r="AC22" s="10">
        <v>47736371</v>
      </c>
      <c r="AD22" s="36">
        <v>69194381</v>
      </c>
      <c r="AE22" s="10">
        <v>12163704</v>
      </c>
      <c r="AF22" s="10">
        <v>83075633</v>
      </c>
      <c r="AG22" s="10">
        <v>265066293</v>
      </c>
      <c r="AH22" s="10">
        <v>19397089</v>
      </c>
      <c r="AI22" s="77">
        <f t="shared" si="4"/>
        <v>2501801380.8099999</v>
      </c>
    </row>
    <row r="23" spans="1:35" x14ac:dyDescent="0.25">
      <c r="A23" s="26" t="s">
        <v>72</v>
      </c>
      <c r="B23" s="10">
        <v>776076</v>
      </c>
      <c r="C23" s="10">
        <v>3801957</v>
      </c>
      <c r="D23" s="10">
        <v>11203868</v>
      </c>
      <c r="E23" s="10">
        <v>9135584</v>
      </c>
      <c r="F23" s="10">
        <v>42503843</v>
      </c>
      <c r="G23" s="10">
        <v>9377635</v>
      </c>
      <c r="H23" s="10">
        <v>22484046</v>
      </c>
      <c r="I23" s="10">
        <v>1007574</v>
      </c>
      <c r="J23" s="10">
        <v>992062</v>
      </c>
      <c r="K23" s="10">
        <v>8189289.5700000003</v>
      </c>
      <c r="L23" s="10">
        <v>11878325</v>
      </c>
      <c r="M23" s="10">
        <v>8495109</v>
      </c>
      <c r="N23" s="10">
        <v>31417076</v>
      </c>
      <c r="O23" s="10">
        <v>58716650</v>
      </c>
      <c r="P23" s="10">
        <v>21494406</v>
      </c>
      <c r="Q23" s="10">
        <v>2600772</v>
      </c>
      <c r="R23" s="10">
        <v>7542917</v>
      </c>
      <c r="S23" s="10">
        <v>4623514</v>
      </c>
      <c r="T23" s="10">
        <v>2839962</v>
      </c>
      <c r="U23" s="10">
        <v>5021672</v>
      </c>
      <c r="V23" s="10">
        <v>50963408</v>
      </c>
      <c r="W23" s="10">
        <v>130022163</v>
      </c>
      <c r="X23" s="10">
        <v>67552589</v>
      </c>
      <c r="Y23" s="10">
        <v>1034872</v>
      </c>
      <c r="Z23" s="10">
        <v>14027089</v>
      </c>
      <c r="AA23" s="10">
        <v>7336269</v>
      </c>
      <c r="AB23" s="10">
        <v>12163795</v>
      </c>
      <c r="AC23" s="10">
        <v>23903634</v>
      </c>
      <c r="AD23" s="36">
        <v>12656762</v>
      </c>
      <c r="AE23" s="10">
        <v>26202473</v>
      </c>
      <c r="AF23" s="10">
        <v>26333604</v>
      </c>
      <c r="AG23" s="10">
        <v>77032922</v>
      </c>
      <c r="AH23" s="10">
        <v>7894865</v>
      </c>
      <c r="AI23" s="77">
        <f t="shared" si="4"/>
        <v>721226782.56999993</v>
      </c>
    </row>
    <row r="24" spans="1:35" s="44" customFormat="1" x14ac:dyDescent="0.25">
      <c r="A24" s="19" t="s">
        <v>261</v>
      </c>
      <c r="B24" s="43">
        <f>B22+B23</f>
        <v>3220002</v>
      </c>
      <c r="C24" s="43">
        <f t="shared" ref="C24:AH24" si="6">C22+C23</f>
        <v>7660279</v>
      </c>
      <c r="D24" s="43">
        <f t="shared" si="6"/>
        <v>138909297</v>
      </c>
      <c r="E24" s="43">
        <f t="shared" si="6"/>
        <v>15880007</v>
      </c>
      <c r="F24" s="43">
        <f t="shared" si="6"/>
        <v>162236035</v>
      </c>
      <c r="G24" s="43">
        <f t="shared" si="6"/>
        <v>48870559</v>
      </c>
      <c r="H24" s="43">
        <f t="shared" si="6"/>
        <v>88678448</v>
      </c>
      <c r="I24" s="43">
        <f t="shared" si="6"/>
        <v>2155040</v>
      </c>
      <c r="J24" s="43">
        <f t="shared" si="6"/>
        <v>2423170</v>
      </c>
      <c r="K24" s="43">
        <f t="shared" si="6"/>
        <v>80061147.379999995</v>
      </c>
      <c r="L24" s="43">
        <f t="shared" si="6"/>
        <v>44828278</v>
      </c>
      <c r="M24" s="43">
        <f t="shared" si="6"/>
        <v>27799188</v>
      </c>
      <c r="N24" s="43">
        <f t="shared" si="6"/>
        <v>120578628</v>
      </c>
      <c r="O24" s="43">
        <f t="shared" si="6"/>
        <v>308514696</v>
      </c>
      <c r="P24" s="43">
        <f t="shared" si="6"/>
        <v>100060439</v>
      </c>
      <c r="Q24" s="43">
        <f t="shared" si="6"/>
        <v>5787371</v>
      </c>
      <c r="R24" s="43">
        <f t="shared" si="6"/>
        <v>23257303</v>
      </c>
      <c r="S24" s="43">
        <f t="shared" si="6"/>
        <v>21080000</v>
      </c>
      <c r="T24" s="43">
        <f t="shared" si="6"/>
        <v>4722678</v>
      </c>
      <c r="U24" s="43">
        <f t="shared" si="6"/>
        <v>8913893</v>
      </c>
      <c r="V24" s="43">
        <f t="shared" si="6"/>
        <v>338282815</v>
      </c>
      <c r="W24" s="43">
        <f t="shared" si="6"/>
        <v>486377636</v>
      </c>
      <c r="X24" s="43">
        <f t="shared" si="6"/>
        <v>330008579</v>
      </c>
      <c r="Y24" s="43">
        <f t="shared" si="6"/>
        <v>3747037</v>
      </c>
      <c r="Z24" s="43">
        <f t="shared" si="6"/>
        <v>108088174</v>
      </c>
      <c r="AA24" s="43">
        <f t="shared" si="6"/>
        <v>14148141</v>
      </c>
      <c r="AB24" s="43">
        <f t="shared" si="6"/>
        <v>56081592</v>
      </c>
      <c r="AC24" s="43">
        <f t="shared" si="6"/>
        <v>71640005</v>
      </c>
      <c r="AD24" s="43">
        <f t="shared" si="6"/>
        <v>81851143</v>
      </c>
      <c r="AE24" s="43">
        <f t="shared" si="6"/>
        <v>38366177</v>
      </c>
      <c r="AF24" s="43">
        <f t="shared" si="6"/>
        <v>109409237</v>
      </c>
      <c r="AG24" s="43">
        <f t="shared" si="6"/>
        <v>342099215</v>
      </c>
      <c r="AH24" s="43">
        <f t="shared" si="6"/>
        <v>27291954</v>
      </c>
      <c r="AI24" s="78">
        <f t="shared" si="4"/>
        <v>3223028163.3800001</v>
      </c>
    </row>
    <row r="25" spans="1:35" s="8" customFormat="1" x14ac:dyDescent="0.25">
      <c r="A25" s="3" t="s">
        <v>262</v>
      </c>
      <c r="B25" s="11">
        <f>B21-B24</f>
        <v>-2160044</v>
      </c>
      <c r="C25" s="11">
        <f t="shared" ref="C25:AH25" si="7">C21-C24</f>
        <v>-6362251</v>
      </c>
      <c r="D25" s="11">
        <f t="shared" si="7"/>
        <v>-36268138</v>
      </c>
      <c r="E25" s="11">
        <f t="shared" si="7"/>
        <v>-11843067</v>
      </c>
      <c r="F25" s="11">
        <f t="shared" si="7"/>
        <v>-131558057</v>
      </c>
      <c r="G25" s="11">
        <f t="shared" si="7"/>
        <v>-38675389</v>
      </c>
      <c r="H25" s="11">
        <f t="shared" si="7"/>
        <v>-76369222</v>
      </c>
      <c r="I25" s="11">
        <f t="shared" si="7"/>
        <v>-1837059</v>
      </c>
      <c r="J25" s="11">
        <f t="shared" si="7"/>
        <v>-1929564</v>
      </c>
      <c r="K25" s="11">
        <f t="shared" si="7"/>
        <v>-59625488.819999993</v>
      </c>
      <c r="L25" s="11">
        <f t="shared" si="7"/>
        <v>-33986580</v>
      </c>
      <c r="M25" s="11">
        <f t="shared" si="7"/>
        <v>-24498416</v>
      </c>
      <c r="N25" s="11">
        <f t="shared" si="7"/>
        <v>-90811451</v>
      </c>
      <c r="O25" s="11">
        <f t="shared" si="7"/>
        <v>-211189959</v>
      </c>
      <c r="P25" s="11">
        <f t="shared" si="7"/>
        <v>-73312964</v>
      </c>
      <c r="Q25" s="11">
        <f t="shared" si="7"/>
        <v>-5247194</v>
      </c>
      <c r="R25" s="11">
        <f t="shared" si="7"/>
        <v>-20467783</v>
      </c>
      <c r="S25" s="11">
        <f t="shared" si="7"/>
        <v>-19305048</v>
      </c>
      <c r="T25" s="11">
        <f t="shared" si="7"/>
        <v>-4160212</v>
      </c>
      <c r="U25" s="11">
        <f t="shared" si="7"/>
        <v>-7624688</v>
      </c>
      <c r="V25" s="11">
        <f t="shared" si="7"/>
        <v>-253987375</v>
      </c>
      <c r="W25" s="11">
        <f t="shared" si="7"/>
        <v>-264499181</v>
      </c>
      <c r="X25" s="11">
        <f t="shared" si="7"/>
        <v>-182045890</v>
      </c>
      <c r="Y25" s="11">
        <f t="shared" si="7"/>
        <v>-3269355</v>
      </c>
      <c r="Z25" s="11">
        <f t="shared" si="7"/>
        <v>-89224048</v>
      </c>
      <c r="AA25" s="11">
        <f t="shared" si="7"/>
        <v>-12448256</v>
      </c>
      <c r="AB25" s="11">
        <f t="shared" si="7"/>
        <v>-46421320</v>
      </c>
      <c r="AC25" s="11">
        <f t="shared" si="7"/>
        <v>-54244615</v>
      </c>
      <c r="AD25" s="11">
        <f t="shared" si="7"/>
        <v>-76249090</v>
      </c>
      <c r="AE25" s="11">
        <f t="shared" si="7"/>
        <v>-22419274</v>
      </c>
      <c r="AF25" s="11">
        <f t="shared" si="7"/>
        <v>-95235618</v>
      </c>
      <c r="AG25" s="11">
        <f t="shared" si="7"/>
        <v>-265856133</v>
      </c>
      <c r="AH25" s="11">
        <f t="shared" si="7"/>
        <v>-20631460</v>
      </c>
      <c r="AI25" s="76">
        <f t="shared" si="4"/>
        <v>-2243764189.8199997</v>
      </c>
    </row>
    <row r="26" spans="1:35" ht="30" x14ac:dyDescent="0.25">
      <c r="A26" s="26" t="s">
        <v>263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v>6310464</v>
      </c>
      <c r="W26" s="10">
        <v>17305680</v>
      </c>
      <c r="X26" s="10">
        <v>11885575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77">
        <f t="shared" si="4"/>
        <v>35501719</v>
      </c>
    </row>
    <row r="27" spans="1:35" ht="30" x14ac:dyDescent="0.25">
      <c r="A27" s="26" t="s">
        <v>264</v>
      </c>
      <c r="B27" s="10">
        <v>3341225</v>
      </c>
      <c r="C27" s="10">
        <v>7867562</v>
      </c>
      <c r="D27" s="10"/>
      <c r="E27" s="10">
        <v>3545716</v>
      </c>
      <c r="F27" s="10"/>
      <c r="G27" s="10">
        <v>15162753</v>
      </c>
      <c r="H27" s="10"/>
      <c r="I27" s="10">
        <v>1230490</v>
      </c>
      <c r="J27" s="10">
        <v>1834805</v>
      </c>
      <c r="K27" s="10"/>
      <c r="L27" s="10"/>
      <c r="M27" s="10">
        <v>5222433</v>
      </c>
      <c r="N27" s="10"/>
      <c r="O27" s="10"/>
      <c r="P27" s="10"/>
      <c r="Q27" s="10">
        <v>1402919</v>
      </c>
      <c r="R27" s="10">
        <v>10615118</v>
      </c>
      <c r="S27" s="10">
        <v>321157</v>
      </c>
      <c r="T27" s="10">
        <v>8877418</v>
      </c>
      <c r="U27" s="10">
        <v>7800955</v>
      </c>
      <c r="V27" s="10">
        <v>40590852</v>
      </c>
      <c r="W27" s="10"/>
      <c r="X27" s="10"/>
      <c r="Y27" s="10">
        <v>585148</v>
      </c>
      <c r="Z27" s="10"/>
      <c r="AA27" s="10">
        <v>1955579</v>
      </c>
      <c r="AB27" s="10"/>
      <c r="AC27" s="10"/>
      <c r="AD27" s="10"/>
      <c r="AE27" s="10"/>
      <c r="AF27" s="10"/>
      <c r="AG27" s="10"/>
      <c r="AH27" s="10"/>
      <c r="AI27" s="77">
        <f t="shared" si="4"/>
        <v>110354130</v>
      </c>
    </row>
    <row r="28" spans="1:35" s="8" customFormat="1" x14ac:dyDescent="0.25">
      <c r="A28" s="3" t="s">
        <v>54</v>
      </c>
      <c r="B28" s="11">
        <v>5460018</v>
      </c>
      <c r="C28" s="11">
        <v>10612180</v>
      </c>
      <c r="D28" s="11">
        <v>40850574</v>
      </c>
      <c r="E28" s="11">
        <v>11155985</v>
      </c>
      <c r="F28" s="11">
        <v>56421066</v>
      </c>
      <c r="G28" s="11">
        <v>24325266</v>
      </c>
      <c r="H28" s="11">
        <v>16740797</v>
      </c>
      <c r="I28" s="11">
        <v>3100626</v>
      </c>
      <c r="J28" s="11">
        <v>3057196</v>
      </c>
      <c r="K28" s="11">
        <v>55149180.310000002</v>
      </c>
      <c r="L28" s="11">
        <v>9809330</v>
      </c>
      <c r="M28" s="11">
        <v>16354060</v>
      </c>
      <c r="N28" s="11">
        <v>27086365</v>
      </c>
      <c r="O28" s="11">
        <v>61906189</v>
      </c>
      <c r="P28" s="11">
        <v>24556501</v>
      </c>
      <c r="Q28" s="11">
        <v>2998274</v>
      </c>
      <c r="R28" s="11">
        <v>17344111</v>
      </c>
      <c r="S28" s="11">
        <v>4382972</v>
      </c>
      <c r="T28" s="11">
        <v>11018311</v>
      </c>
      <c r="U28" s="11">
        <v>11260183</v>
      </c>
      <c r="V28" s="11">
        <v>17524404</v>
      </c>
      <c r="W28" s="11">
        <v>277021380</v>
      </c>
      <c r="X28" s="11">
        <v>43999213</v>
      </c>
      <c r="Y28" s="11">
        <v>2072874</v>
      </c>
      <c r="Z28" s="11">
        <v>19776604</v>
      </c>
      <c r="AA28" s="11">
        <v>7809811</v>
      </c>
      <c r="AB28" s="11">
        <v>11628069</v>
      </c>
      <c r="AC28" s="11">
        <v>21307791</v>
      </c>
      <c r="AD28" s="11">
        <v>19634777</v>
      </c>
      <c r="AE28" s="11">
        <v>21568866</v>
      </c>
      <c r="AF28" s="11">
        <v>25765981</v>
      </c>
      <c r="AG28" s="11">
        <v>17928695</v>
      </c>
      <c r="AH28" s="11">
        <v>9984893</v>
      </c>
      <c r="AI28" s="76">
        <f t="shared" si="4"/>
        <v>909612542.30999994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RowHeight="15" x14ac:dyDescent="0.25"/>
  <cols>
    <col min="1" max="1" width="33.140625" style="7" customWidth="1"/>
    <col min="2" max="69" width="16" style="7" customWidth="1"/>
    <col min="70" max="16384" width="9.140625" style="7"/>
  </cols>
  <sheetData>
    <row r="1" spans="1:69" ht="18.75" x14ac:dyDescent="0.3">
      <c r="A1" s="5" t="s">
        <v>243</v>
      </c>
    </row>
    <row r="2" spans="1:69" x14ac:dyDescent="0.25">
      <c r="A2" s="18" t="s">
        <v>46</v>
      </c>
    </row>
    <row r="3" spans="1:69" x14ac:dyDescent="0.25">
      <c r="A3" s="33" t="s">
        <v>228</v>
      </c>
    </row>
    <row r="4" spans="1:69" x14ac:dyDescent="0.25">
      <c r="A4" s="1" t="s">
        <v>0</v>
      </c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295</v>
      </c>
      <c r="I4" s="112"/>
      <c r="J4" s="111" t="s">
        <v>5</v>
      </c>
      <c r="K4" s="112"/>
      <c r="L4" s="111" t="s">
        <v>6</v>
      </c>
      <c r="M4" s="112"/>
      <c r="N4" s="111" t="s">
        <v>7</v>
      </c>
      <c r="O4" s="112"/>
      <c r="P4" s="111" t="s">
        <v>309</v>
      </c>
      <c r="Q4" s="112"/>
      <c r="R4" s="111" t="s">
        <v>9</v>
      </c>
      <c r="S4" s="112"/>
      <c r="T4" s="111" t="s">
        <v>10</v>
      </c>
      <c r="U4" s="112"/>
      <c r="V4" s="111" t="s">
        <v>11</v>
      </c>
      <c r="W4" s="112"/>
      <c r="X4" s="111" t="s">
        <v>12</v>
      </c>
      <c r="Y4" s="112"/>
      <c r="Z4" s="111" t="s">
        <v>13</v>
      </c>
      <c r="AA4" s="112"/>
      <c r="AB4" s="111" t="s">
        <v>14</v>
      </c>
      <c r="AC4" s="112"/>
      <c r="AD4" s="111" t="s">
        <v>15</v>
      </c>
      <c r="AE4" s="112"/>
      <c r="AF4" s="111" t="s">
        <v>16</v>
      </c>
      <c r="AG4" s="112"/>
      <c r="AH4" s="111" t="s">
        <v>17</v>
      </c>
      <c r="AI4" s="112"/>
      <c r="AJ4" s="111" t="s">
        <v>18</v>
      </c>
      <c r="AK4" s="112"/>
      <c r="AL4" s="111" t="s">
        <v>293</v>
      </c>
      <c r="AM4" s="112"/>
      <c r="AN4" s="111" t="s">
        <v>19</v>
      </c>
      <c r="AO4" s="112"/>
      <c r="AP4" s="111" t="s">
        <v>20</v>
      </c>
      <c r="AQ4" s="112"/>
      <c r="AR4" s="111" t="s">
        <v>21</v>
      </c>
      <c r="AS4" s="112"/>
      <c r="AT4" s="111" t="s">
        <v>22</v>
      </c>
      <c r="AU4" s="112"/>
      <c r="AV4" s="111" t="s">
        <v>23</v>
      </c>
      <c r="AW4" s="112"/>
      <c r="AX4" s="111" t="s">
        <v>24</v>
      </c>
      <c r="AY4" s="112"/>
      <c r="AZ4" s="111" t="s">
        <v>25</v>
      </c>
      <c r="BA4" s="112"/>
      <c r="BB4" s="111" t="s">
        <v>26</v>
      </c>
      <c r="BC4" s="112"/>
      <c r="BD4" s="111" t="s">
        <v>27</v>
      </c>
      <c r="BE4" s="112"/>
      <c r="BF4" s="111" t="s">
        <v>28</v>
      </c>
      <c r="BG4" s="112"/>
      <c r="BH4" s="111" t="s">
        <v>29</v>
      </c>
      <c r="BI4" s="112"/>
      <c r="BJ4" s="111" t="s">
        <v>30</v>
      </c>
      <c r="BK4" s="112"/>
      <c r="BL4" s="115" t="s">
        <v>31</v>
      </c>
      <c r="BM4" s="116"/>
      <c r="BN4" s="111" t="s">
        <v>32</v>
      </c>
      <c r="BO4" s="112"/>
      <c r="BP4" s="113" t="s">
        <v>33</v>
      </c>
      <c r="BQ4" s="114"/>
    </row>
    <row r="5" spans="1:69" ht="30" x14ac:dyDescent="0.25">
      <c r="A5" s="1"/>
      <c r="B5" s="66" t="s">
        <v>298</v>
      </c>
      <c r="C5" s="67" t="s">
        <v>299</v>
      </c>
      <c r="D5" s="66" t="s">
        <v>298</v>
      </c>
      <c r="E5" s="67" t="s">
        <v>299</v>
      </c>
      <c r="F5" s="66" t="s">
        <v>298</v>
      </c>
      <c r="G5" s="67" t="s">
        <v>299</v>
      </c>
      <c r="H5" s="66" t="s">
        <v>298</v>
      </c>
      <c r="I5" s="67" t="s">
        <v>299</v>
      </c>
      <c r="J5" s="66" t="s">
        <v>298</v>
      </c>
      <c r="K5" s="67" t="s">
        <v>299</v>
      </c>
      <c r="L5" s="66" t="s">
        <v>298</v>
      </c>
      <c r="M5" s="67" t="s">
        <v>299</v>
      </c>
      <c r="N5" s="66" t="s">
        <v>298</v>
      </c>
      <c r="O5" s="67" t="s">
        <v>299</v>
      </c>
      <c r="P5" s="66" t="s">
        <v>298</v>
      </c>
      <c r="Q5" s="67" t="s">
        <v>299</v>
      </c>
      <c r="R5" s="66" t="s">
        <v>298</v>
      </c>
      <c r="S5" s="67" t="s">
        <v>299</v>
      </c>
      <c r="T5" s="66" t="s">
        <v>298</v>
      </c>
      <c r="U5" s="67" t="s">
        <v>299</v>
      </c>
      <c r="V5" s="66" t="s">
        <v>298</v>
      </c>
      <c r="W5" s="67" t="s">
        <v>299</v>
      </c>
      <c r="X5" s="66" t="s">
        <v>298</v>
      </c>
      <c r="Y5" s="67" t="s">
        <v>299</v>
      </c>
      <c r="Z5" s="66" t="s">
        <v>298</v>
      </c>
      <c r="AA5" s="67" t="s">
        <v>299</v>
      </c>
      <c r="AB5" s="66" t="s">
        <v>298</v>
      </c>
      <c r="AC5" s="67" t="s">
        <v>299</v>
      </c>
      <c r="AD5" s="66" t="s">
        <v>298</v>
      </c>
      <c r="AE5" s="67" t="s">
        <v>299</v>
      </c>
      <c r="AF5" s="66" t="s">
        <v>298</v>
      </c>
      <c r="AG5" s="67" t="s">
        <v>299</v>
      </c>
      <c r="AH5" s="66" t="s">
        <v>298</v>
      </c>
      <c r="AI5" s="67" t="s">
        <v>299</v>
      </c>
      <c r="AJ5" s="66" t="s">
        <v>298</v>
      </c>
      <c r="AK5" s="67" t="s">
        <v>299</v>
      </c>
      <c r="AL5" s="66" t="s">
        <v>298</v>
      </c>
      <c r="AM5" s="67" t="s">
        <v>299</v>
      </c>
      <c r="AN5" s="66" t="s">
        <v>298</v>
      </c>
      <c r="AO5" s="67" t="s">
        <v>299</v>
      </c>
      <c r="AP5" s="66" t="s">
        <v>298</v>
      </c>
      <c r="AQ5" s="67" t="s">
        <v>299</v>
      </c>
      <c r="AR5" s="66" t="s">
        <v>298</v>
      </c>
      <c r="AS5" s="67" t="s">
        <v>299</v>
      </c>
      <c r="AT5" s="66" t="s">
        <v>298</v>
      </c>
      <c r="AU5" s="67" t="s">
        <v>299</v>
      </c>
      <c r="AV5" s="66" t="s">
        <v>298</v>
      </c>
      <c r="AW5" s="67" t="s">
        <v>299</v>
      </c>
      <c r="AX5" s="66" t="s">
        <v>298</v>
      </c>
      <c r="AY5" s="67" t="s">
        <v>299</v>
      </c>
      <c r="AZ5" s="66" t="s">
        <v>298</v>
      </c>
      <c r="BA5" s="67" t="s">
        <v>299</v>
      </c>
      <c r="BB5" s="66" t="s">
        <v>298</v>
      </c>
      <c r="BC5" s="67" t="s">
        <v>299</v>
      </c>
      <c r="BD5" s="66" t="s">
        <v>298</v>
      </c>
      <c r="BE5" s="67" t="s">
        <v>299</v>
      </c>
      <c r="BF5" s="66" t="s">
        <v>298</v>
      </c>
      <c r="BG5" s="67" t="s">
        <v>299</v>
      </c>
      <c r="BH5" s="66" t="s">
        <v>298</v>
      </c>
      <c r="BI5" s="67" t="s">
        <v>299</v>
      </c>
      <c r="BJ5" s="66" t="s">
        <v>298</v>
      </c>
      <c r="BK5" s="67" t="s">
        <v>299</v>
      </c>
      <c r="BL5" s="66" t="s">
        <v>298</v>
      </c>
      <c r="BM5" s="67" t="s">
        <v>299</v>
      </c>
      <c r="BN5" s="66" t="s">
        <v>298</v>
      </c>
      <c r="BO5" s="67" t="s">
        <v>299</v>
      </c>
      <c r="BP5" s="66" t="s">
        <v>298</v>
      </c>
      <c r="BQ5" s="67" t="s">
        <v>299</v>
      </c>
    </row>
    <row r="6" spans="1:69" x14ac:dyDescent="0.25">
      <c r="A6" s="10" t="s">
        <v>283</v>
      </c>
      <c r="B6" s="10"/>
      <c r="C6" s="10"/>
      <c r="D6" s="10"/>
      <c r="E6" s="10"/>
      <c r="F6" s="10"/>
      <c r="G6" s="10"/>
      <c r="H6" s="10"/>
      <c r="I6" s="10"/>
      <c r="J6" s="10">
        <v>3484178</v>
      </c>
      <c r="K6" s="10">
        <v>12256592</v>
      </c>
      <c r="L6" s="10">
        <v>639590</v>
      </c>
      <c r="M6" s="10">
        <v>2215520</v>
      </c>
      <c r="N6" s="10">
        <v>926147</v>
      </c>
      <c r="O6" s="10">
        <v>3399593</v>
      </c>
      <c r="P6" s="10">
        <v>68803</v>
      </c>
      <c r="Q6" s="10">
        <v>241272</v>
      </c>
      <c r="R6" s="10">
        <v>15316</v>
      </c>
      <c r="S6" s="10">
        <v>36058</v>
      </c>
      <c r="T6" s="10"/>
      <c r="U6" s="10"/>
      <c r="V6" s="10">
        <v>825365</v>
      </c>
      <c r="W6" s="10">
        <v>3442521</v>
      </c>
      <c r="X6" s="10">
        <v>179288</v>
      </c>
      <c r="Y6" s="10">
        <v>423484</v>
      </c>
      <c r="Z6" s="10">
        <v>2100355</v>
      </c>
      <c r="AA6" s="10">
        <v>9794450</v>
      </c>
      <c r="AB6" s="10">
        <v>3432876</v>
      </c>
      <c r="AC6" s="10">
        <v>15501798</v>
      </c>
      <c r="AD6" s="10">
        <v>1151041</v>
      </c>
      <c r="AE6" s="10">
        <v>5309100</v>
      </c>
      <c r="AF6" s="10">
        <v>106691</v>
      </c>
      <c r="AG6" s="10">
        <v>350693</v>
      </c>
      <c r="AH6" s="10">
        <v>185241</v>
      </c>
      <c r="AI6" s="10">
        <v>779117</v>
      </c>
      <c r="AJ6" s="10">
        <v>320288</v>
      </c>
      <c r="AK6" s="10">
        <v>784194</v>
      </c>
      <c r="AL6" s="10"/>
      <c r="AM6" s="10"/>
      <c r="AN6" s="10"/>
      <c r="AO6" s="10"/>
      <c r="AP6" s="10">
        <v>2546302.6730246376</v>
      </c>
      <c r="AQ6" s="10">
        <v>10440302.71031875</v>
      </c>
      <c r="AR6" s="36">
        <v>10123930</v>
      </c>
      <c r="AS6" s="10">
        <v>38869424</v>
      </c>
      <c r="AT6" s="10">
        <v>3125040</v>
      </c>
      <c r="AU6" s="10">
        <v>14118790</v>
      </c>
      <c r="AV6" s="10">
        <v>10692</v>
      </c>
      <c r="AW6" s="10">
        <v>36511</v>
      </c>
      <c r="AX6" s="10">
        <v>1225172</v>
      </c>
      <c r="AY6" s="10">
        <v>6974778</v>
      </c>
      <c r="AZ6" s="10"/>
      <c r="BA6" s="10"/>
      <c r="BB6" s="10">
        <v>544519</v>
      </c>
      <c r="BC6" s="10">
        <v>2252364</v>
      </c>
      <c r="BD6" s="10">
        <v>3270997</v>
      </c>
      <c r="BE6" s="10">
        <v>11961638</v>
      </c>
      <c r="BF6" s="36">
        <v>101505</v>
      </c>
      <c r="BG6" s="36">
        <v>347700</v>
      </c>
      <c r="BH6" s="10"/>
      <c r="BI6" s="10"/>
      <c r="BJ6" s="10">
        <v>2053022</v>
      </c>
      <c r="BK6" s="10">
        <v>9463068</v>
      </c>
      <c r="BL6" s="10">
        <v>4085351</v>
      </c>
      <c r="BM6" s="10">
        <v>15693238</v>
      </c>
      <c r="BN6" s="10">
        <v>364569</v>
      </c>
      <c r="BO6" s="10">
        <v>1797167</v>
      </c>
      <c r="BP6" s="82">
        <f>B6+D6+F6+H6+J6+L6+N6+P6+R6+T6+V6+X6+Z6+AB6+AD6+AF6+AH6+AJ6+AL6+AN6+AP6+AR6+AT6+AV6+AX6+AZ6+BB6+BD6+BF6+BH6+BJ6+BL6+BN6</f>
        <v>40886278.673024639</v>
      </c>
      <c r="BQ6" s="82">
        <f>C6+E6+G6+I6+K6+M6+O6+Q6+S6+U6+W6+Y6+AA6+AC6+AE6+AG6+AI6+AK6+AM6+AO6+AQ6+AS6+AU6+AW6+AY6+BA6+BC6+BE6+BG6+BI6+BK6+BM6+BO6</f>
        <v>166489372.71031874</v>
      </c>
    </row>
    <row r="7" spans="1:69" x14ac:dyDescent="0.25">
      <c r="A7" s="10" t="s">
        <v>286</v>
      </c>
      <c r="B7" s="10"/>
      <c r="C7" s="10"/>
      <c r="D7" s="10"/>
      <c r="E7" s="10"/>
      <c r="F7" s="10"/>
      <c r="G7" s="10"/>
      <c r="H7" s="10"/>
      <c r="I7" s="10"/>
      <c r="J7" s="10">
        <v>83868</v>
      </c>
      <c r="K7" s="10">
        <v>472918</v>
      </c>
      <c r="L7" s="10">
        <v>18098</v>
      </c>
      <c r="M7" s="10">
        <v>199097</v>
      </c>
      <c r="N7" s="10">
        <v>16032</v>
      </c>
      <c r="O7" s="10">
        <v>87451</v>
      </c>
      <c r="P7" s="10">
        <v>1024</v>
      </c>
      <c r="Q7" s="10">
        <v>5087</v>
      </c>
      <c r="R7" s="10">
        <v>16543</v>
      </c>
      <c r="S7" s="10">
        <v>46555</v>
      </c>
      <c r="T7" s="10"/>
      <c r="U7" s="10"/>
      <c r="V7" s="10">
        <v>30369</v>
      </c>
      <c r="W7" s="10">
        <v>634514</v>
      </c>
      <c r="X7" s="10">
        <v>234923</v>
      </c>
      <c r="Y7" s="10">
        <v>1636751</v>
      </c>
      <c r="Z7" s="10">
        <v>207252</v>
      </c>
      <c r="AA7" s="10">
        <v>891437</v>
      </c>
      <c r="AB7" s="10">
        <v>129952</v>
      </c>
      <c r="AC7" s="10">
        <v>711292</v>
      </c>
      <c r="AD7" s="10">
        <v>47755</v>
      </c>
      <c r="AE7" s="10">
        <v>955209</v>
      </c>
      <c r="AF7" s="10">
        <v>4560</v>
      </c>
      <c r="AG7" s="10">
        <v>24877</v>
      </c>
      <c r="AH7" s="10">
        <v>90566</v>
      </c>
      <c r="AI7" s="10">
        <v>281775</v>
      </c>
      <c r="AJ7" s="10">
        <v>55190</v>
      </c>
      <c r="AK7" s="10">
        <v>645561</v>
      </c>
      <c r="AL7" s="10"/>
      <c r="AM7" s="10"/>
      <c r="AN7" s="10"/>
      <c r="AO7" s="10"/>
      <c r="AP7" s="10">
        <v>339200.28060376411</v>
      </c>
      <c r="AQ7" s="10">
        <v>1390155.4553875001</v>
      </c>
      <c r="AR7" s="36">
        <v>3606695</v>
      </c>
      <c r="AS7" s="10">
        <v>11744681</v>
      </c>
      <c r="AT7" s="10">
        <v>209078</v>
      </c>
      <c r="AU7" s="10">
        <v>1345745</v>
      </c>
      <c r="AV7" s="10">
        <v>2112</v>
      </c>
      <c r="AW7" s="10">
        <v>9863</v>
      </c>
      <c r="AX7" s="10">
        <v>46188</v>
      </c>
      <c r="AY7" s="10">
        <v>445877</v>
      </c>
      <c r="AZ7" s="10"/>
      <c r="BA7" s="10"/>
      <c r="BB7" s="10">
        <v>45413</v>
      </c>
      <c r="BC7" s="10">
        <v>414073</v>
      </c>
      <c r="BD7" s="10">
        <v>7121</v>
      </c>
      <c r="BE7" s="10">
        <v>42690</v>
      </c>
      <c r="BF7" s="36">
        <v>7295</v>
      </c>
      <c r="BG7" s="36">
        <v>45502</v>
      </c>
      <c r="BH7" s="10"/>
      <c r="BI7" s="10"/>
      <c r="BJ7" s="10">
        <v>188348</v>
      </c>
      <c r="BK7" s="10">
        <v>931698</v>
      </c>
      <c r="BL7" s="10">
        <v>184241</v>
      </c>
      <c r="BM7" s="10">
        <v>1612407</v>
      </c>
      <c r="BN7" s="10">
        <v>4560</v>
      </c>
      <c r="BO7" s="10">
        <v>51665</v>
      </c>
      <c r="BP7" s="82">
        <f t="shared" ref="BP7:BP10" si="0">B7+D7+F7+H7+J7+L7+N7+P7+R7+T7+V7+X7+Z7+AB7+AD7+AF7+AH7+AJ7+AL7+AN7+AP7+AR7+AT7+AV7+AX7+AZ7+BB7+BD7+BF7+BH7+BJ7+BL7+BN7</f>
        <v>5576383.2806037646</v>
      </c>
      <c r="BQ7" s="82">
        <f t="shared" ref="BQ7:BQ10" si="1">C7+E7+G7+I7+K7+M7+O7+Q7+S7+U7+W7+Y7+AA7+AC7+AE7+AG7+AI7+AK7+AM7+AO7+AQ7+AS7+AU7+AW7+AY7+BA7+BC7+BE7+BG7+BI7+BK7+BM7+BO7</f>
        <v>24626880.455387499</v>
      </c>
    </row>
    <row r="8" spans="1:69" x14ac:dyDescent="0.25">
      <c r="A8" s="10" t="s">
        <v>287</v>
      </c>
      <c r="B8" s="10"/>
      <c r="C8" s="10"/>
      <c r="D8" s="10"/>
      <c r="E8" s="10"/>
      <c r="F8" s="10"/>
      <c r="G8" s="10"/>
      <c r="H8" s="10"/>
      <c r="I8" s="10"/>
      <c r="J8" s="10">
        <v>2837281</v>
      </c>
      <c r="K8" s="10">
        <v>11291736</v>
      </c>
      <c r="L8" s="10">
        <v>459931</v>
      </c>
      <c r="M8" s="10">
        <v>1991105</v>
      </c>
      <c r="N8" s="10">
        <v>481297</v>
      </c>
      <c r="O8" s="10">
        <v>2044451</v>
      </c>
      <c r="P8" s="10">
        <v>-40525</v>
      </c>
      <c r="Q8" s="10">
        <v>-142581</v>
      </c>
      <c r="R8" s="10">
        <v>24612</v>
      </c>
      <c r="S8" s="10">
        <v>58207</v>
      </c>
      <c r="T8" s="10"/>
      <c r="U8" s="10"/>
      <c r="V8" s="10">
        <v>575249</v>
      </c>
      <c r="W8" s="10">
        <v>2892317</v>
      </c>
      <c r="X8" s="10">
        <v>367265</v>
      </c>
      <c r="Y8" s="10">
        <v>1819564</v>
      </c>
      <c r="Z8" s="10">
        <v>-1767734</v>
      </c>
      <c r="AA8" s="10">
        <v>-8419667</v>
      </c>
      <c r="AB8" s="10">
        <v>2783738</v>
      </c>
      <c r="AC8" s="10">
        <v>12484281</v>
      </c>
      <c r="AD8" s="10">
        <v>963537</v>
      </c>
      <c r="AE8" s="10">
        <v>5509874</v>
      </c>
      <c r="AF8" s="10">
        <v>59913</v>
      </c>
      <c r="AG8" s="10">
        <v>155143</v>
      </c>
      <c r="AH8" s="10">
        <v>217637</v>
      </c>
      <c r="AI8" s="10">
        <v>849658</v>
      </c>
      <c r="AJ8" s="10">
        <v>-349063</v>
      </c>
      <c r="AK8" s="10">
        <v>-1302003</v>
      </c>
      <c r="AL8" s="10"/>
      <c r="AM8" s="10"/>
      <c r="AN8" s="10"/>
      <c r="AO8" s="10"/>
      <c r="AP8" s="10">
        <v>741453.21425665729</v>
      </c>
      <c r="AQ8" s="10">
        <v>4659792.8623062493</v>
      </c>
      <c r="AR8" s="36">
        <v>6266566</v>
      </c>
      <c r="AS8" s="10">
        <v>23033175</v>
      </c>
      <c r="AT8" s="10">
        <v>1646718</v>
      </c>
      <c r="AU8" s="10">
        <v>8242330</v>
      </c>
      <c r="AV8" s="10">
        <v>7670</v>
      </c>
      <c r="AW8" s="10">
        <v>34214</v>
      </c>
      <c r="AX8" s="10">
        <v>796305</v>
      </c>
      <c r="AY8" s="10">
        <v>6003638</v>
      </c>
      <c r="AZ8" s="10"/>
      <c r="BA8" s="10"/>
      <c r="BB8" s="10">
        <v>-486673</v>
      </c>
      <c r="BC8" s="10">
        <v>-2202128</v>
      </c>
      <c r="BD8" s="10">
        <v>2378615</v>
      </c>
      <c r="BE8" s="10">
        <v>8831517</v>
      </c>
      <c r="BF8" s="36">
        <v>47955</v>
      </c>
      <c r="BG8" s="36">
        <v>160376</v>
      </c>
      <c r="BH8" s="10"/>
      <c r="BI8" s="10"/>
      <c r="BJ8" s="10">
        <v>1642216</v>
      </c>
      <c r="BK8" s="10">
        <v>10863048</v>
      </c>
      <c r="BL8" s="10">
        <v>2277110</v>
      </c>
      <c r="BM8" s="10">
        <v>8465164</v>
      </c>
      <c r="BN8" s="10">
        <v>181563</v>
      </c>
      <c r="BO8" s="10">
        <v>1194277</v>
      </c>
      <c r="BP8" s="82">
        <f t="shared" si="0"/>
        <v>22112636.214256659</v>
      </c>
      <c r="BQ8" s="82">
        <f t="shared" si="1"/>
        <v>98517488.862306252</v>
      </c>
    </row>
    <row r="9" spans="1:69" x14ac:dyDescent="0.25">
      <c r="A9" s="10" t="s">
        <v>241</v>
      </c>
      <c r="B9" s="10"/>
      <c r="C9" s="10"/>
      <c r="D9" s="10"/>
      <c r="E9" s="10"/>
      <c r="F9" s="10"/>
      <c r="G9" s="10"/>
      <c r="H9" s="10"/>
      <c r="I9" s="10"/>
      <c r="J9" s="10">
        <v>730765</v>
      </c>
      <c r="K9" s="10">
        <v>1437774</v>
      </c>
      <c r="L9" s="10">
        <v>197756</v>
      </c>
      <c r="M9" s="10">
        <v>423512</v>
      </c>
      <c r="N9" s="10">
        <v>460882</v>
      </c>
      <c r="O9" s="10">
        <v>1442593</v>
      </c>
      <c r="P9" s="10">
        <v>29302</v>
      </c>
      <c r="Q9" s="10">
        <v>103778</v>
      </c>
      <c r="R9" s="10">
        <v>7247</v>
      </c>
      <c r="S9" s="10">
        <v>24406</v>
      </c>
      <c r="T9" s="10"/>
      <c r="U9" s="10"/>
      <c r="V9" s="10">
        <v>280485</v>
      </c>
      <c r="W9" s="10">
        <v>1184718</v>
      </c>
      <c r="X9" s="10">
        <v>46945</v>
      </c>
      <c r="Y9" s="10">
        <v>240671</v>
      </c>
      <c r="Z9" s="10">
        <v>539873</v>
      </c>
      <c r="AA9" s="10">
        <v>2266220</v>
      </c>
      <c r="AB9" s="10">
        <v>779090</v>
      </c>
      <c r="AC9" s="10">
        <v>3728809</v>
      </c>
      <c r="AD9" s="10">
        <v>235259</v>
      </c>
      <c r="AE9" s="10">
        <v>754435</v>
      </c>
      <c r="AF9" s="10">
        <v>51338</v>
      </c>
      <c r="AG9" s="10">
        <v>220427</v>
      </c>
      <c r="AH9" s="10">
        <v>58170</v>
      </c>
      <c r="AI9" s="10">
        <v>211235</v>
      </c>
      <c r="AJ9" s="10">
        <v>26415</v>
      </c>
      <c r="AK9" s="10">
        <v>127752</v>
      </c>
      <c r="AL9" s="10"/>
      <c r="AM9" s="10"/>
      <c r="AN9" s="10"/>
      <c r="AO9" s="10"/>
      <c r="AP9" s="10">
        <v>2144049.7393717445</v>
      </c>
      <c r="AQ9" s="10">
        <v>7170665.3034000015</v>
      </c>
      <c r="AR9" s="10">
        <v>7464058</v>
      </c>
      <c r="AS9" s="10">
        <v>27580930</v>
      </c>
      <c r="AT9" s="10">
        <v>1687400</v>
      </c>
      <c r="AU9" s="10">
        <v>7222205</v>
      </c>
      <c r="AV9" s="10">
        <v>5133</v>
      </c>
      <c r="AW9" s="10">
        <v>12160</v>
      </c>
      <c r="AX9" s="10">
        <v>475055</v>
      </c>
      <c r="AY9" s="10">
        <v>1417017</v>
      </c>
      <c r="AZ9" s="10"/>
      <c r="BA9" s="10"/>
      <c r="BB9" s="10">
        <v>103259</v>
      </c>
      <c r="BC9" s="10">
        <v>464309</v>
      </c>
      <c r="BD9" s="10">
        <v>899503</v>
      </c>
      <c r="BE9" s="10">
        <v>3172811</v>
      </c>
      <c r="BF9" s="36">
        <v>60846</v>
      </c>
      <c r="BG9" s="36">
        <v>232826</v>
      </c>
      <c r="BH9" s="10"/>
      <c r="BI9" s="10"/>
      <c r="BJ9" s="10">
        <v>599154</v>
      </c>
      <c r="BK9" s="10">
        <v>-468282</v>
      </c>
      <c r="BL9" s="10">
        <v>1992482</v>
      </c>
      <c r="BM9" s="10">
        <v>8840481</v>
      </c>
      <c r="BN9" s="10">
        <v>187566</v>
      </c>
      <c r="BO9" s="10">
        <v>654555</v>
      </c>
      <c r="BP9" s="82">
        <f t="shared" si="0"/>
        <v>19062032.739371747</v>
      </c>
      <c r="BQ9" s="82">
        <f t="shared" si="1"/>
        <v>68466007.30340001</v>
      </c>
    </row>
    <row r="10" spans="1:69" x14ac:dyDescent="0.25">
      <c r="A10" s="10" t="s">
        <v>242</v>
      </c>
      <c r="B10" s="10"/>
      <c r="C10" s="10"/>
      <c r="D10" s="10"/>
      <c r="E10" s="10"/>
      <c r="F10" s="10"/>
      <c r="G10" s="10"/>
      <c r="H10" s="10"/>
      <c r="I10" s="10"/>
      <c r="J10" s="10">
        <v>660863</v>
      </c>
      <c r="K10" s="10">
        <v>2679557</v>
      </c>
      <c r="L10" s="10">
        <v>79811</v>
      </c>
      <c r="M10" s="10">
        <v>286476</v>
      </c>
      <c r="N10" s="10">
        <v>247446</v>
      </c>
      <c r="O10" s="10">
        <v>959057</v>
      </c>
      <c r="P10" s="10">
        <v>22921</v>
      </c>
      <c r="Q10" s="10">
        <v>304579</v>
      </c>
      <c r="R10" s="10">
        <v>5401</v>
      </c>
      <c r="S10" s="10">
        <v>15144</v>
      </c>
      <c r="T10" s="10"/>
      <c r="U10" s="10"/>
      <c r="V10" s="10">
        <v>252843</v>
      </c>
      <c r="W10" s="10">
        <v>917766</v>
      </c>
      <c r="X10" s="10">
        <v>37894</v>
      </c>
      <c r="Y10" s="10">
        <v>150622</v>
      </c>
      <c r="Z10" s="10">
        <v>398412</v>
      </c>
      <c r="AA10" s="10">
        <v>1459430</v>
      </c>
      <c r="AB10" s="10">
        <v>834307</v>
      </c>
      <c r="AC10" s="10">
        <v>2735818</v>
      </c>
      <c r="AD10" s="10">
        <v>181709</v>
      </c>
      <c r="AE10" s="10">
        <v>592286</v>
      </c>
      <c r="AF10" s="10">
        <v>20267</v>
      </c>
      <c r="AG10" s="10">
        <v>73520</v>
      </c>
      <c r="AH10" s="10">
        <v>17764</v>
      </c>
      <c r="AI10" s="10">
        <v>87646</v>
      </c>
      <c r="AJ10" s="10">
        <v>20508</v>
      </c>
      <c r="AK10" s="10">
        <v>81155</v>
      </c>
      <c r="AL10" s="10"/>
      <c r="AM10" s="10"/>
      <c r="AN10" s="10"/>
      <c r="AO10" s="10"/>
      <c r="AP10" s="10">
        <v>1837020.1203717445</v>
      </c>
      <c r="AQ10" s="10">
        <v>6523146.9474000018</v>
      </c>
      <c r="AR10" s="10">
        <v>6670616</v>
      </c>
      <c r="AS10" s="10">
        <v>24433590</v>
      </c>
      <c r="AT10" s="10">
        <v>1564191</v>
      </c>
      <c r="AU10" s="10">
        <v>6708711</v>
      </c>
      <c r="AV10" s="10">
        <v>3389</v>
      </c>
      <c r="AW10" s="10">
        <v>8695</v>
      </c>
      <c r="AX10" s="10">
        <v>545913</v>
      </c>
      <c r="AY10" s="10">
        <v>1675581</v>
      </c>
      <c r="AZ10" s="10"/>
      <c r="BA10" s="10"/>
      <c r="BB10" s="10">
        <v>102871</v>
      </c>
      <c r="BC10" s="10">
        <v>380712</v>
      </c>
      <c r="BD10" s="10">
        <v>520729</v>
      </c>
      <c r="BE10" s="10">
        <v>1990424</v>
      </c>
      <c r="BF10" s="36">
        <v>39172</v>
      </c>
      <c r="BG10" s="36">
        <v>160433</v>
      </c>
      <c r="BH10" s="10"/>
      <c r="BI10" s="10"/>
      <c r="BJ10" s="10">
        <v>251672</v>
      </c>
      <c r="BK10" s="10">
        <v>1580208</v>
      </c>
      <c r="BL10" s="10">
        <v>2430487</v>
      </c>
      <c r="BM10" s="10">
        <v>7977087</v>
      </c>
      <c r="BN10" s="10">
        <v>152060</v>
      </c>
      <c r="BO10" s="10">
        <v>588251</v>
      </c>
      <c r="BP10" s="82">
        <f t="shared" si="0"/>
        <v>16898266.120371744</v>
      </c>
      <c r="BQ10" s="82">
        <f t="shared" si="1"/>
        <v>62369894.947400004</v>
      </c>
    </row>
    <row r="12" spans="1:69" x14ac:dyDescent="0.25">
      <c r="A12" s="29" t="s">
        <v>229</v>
      </c>
    </row>
    <row r="13" spans="1:69" x14ac:dyDescent="0.25">
      <c r="A13" s="1" t="s">
        <v>0</v>
      </c>
      <c r="B13" s="111" t="s">
        <v>1</v>
      </c>
      <c r="C13" s="112"/>
      <c r="D13" s="111" t="s">
        <v>2</v>
      </c>
      <c r="E13" s="112"/>
      <c r="F13" s="111" t="s">
        <v>3</v>
      </c>
      <c r="G13" s="112"/>
      <c r="H13" s="111" t="s">
        <v>295</v>
      </c>
      <c r="I13" s="112"/>
      <c r="J13" s="111" t="s">
        <v>5</v>
      </c>
      <c r="K13" s="112"/>
      <c r="L13" s="111" t="s">
        <v>6</v>
      </c>
      <c r="M13" s="112"/>
      <c r="N13" s="111" t="s">
        <v>7</v>
      </c>
      <c r="O13" s="112"/>
      <c r="P13" s="111" t="s">
        <v>309</v>
      </c>
      <c r="Q13" s="112"/>
      <c r="R13" s="111" t="s">
        <v>9</v>
      </c>
      <c r="S13" s="112"/>
      <c r="T13" s="111" t="s">
        <v>10</v>
      </c>
      <c r="U13" s="112"/>
      <c r="V13" s="111" t="s">
        <v>11</v>
      </c>
      <c r="W13" s="112"/>
      <c r="X13" s="111" t="s">
        <v>12</v>
      </c>
      <c r="Y13" s="112"/>
      <c r="Z13" s="111" t="s">
        <v>13</v>
      </c>
      <c r="AA13" s="112"/>
      <c r="AB13" s="111" t="s">
        <v>14</v>
      </c>
      <c r="AC13" s="112"/>
      <c r="AD13" s="111" t="s">
        <v>15</v>
      </c>
      <c r="AE13" s="112"/>
      <c r="AF13" s="111" t="s">
        <v>16</v>
      </c>
      <c r="AG13" s="112"/>
      <c r="AH13" s="111" t="s">
        <v>17</v>
      </c>
      <c r="AI13" s="112"/>
      <c r="AJ13" s="111" t="s">
        <v>18</v>
      </c>
      <c r="AK13" s="112"/>
      <c r="AL13" s="111" t="s">
        <v>293</v>
      </c>
      <c r="AM13" s="112"/>
      <c r="AN13" s="111" t="s">
        <v>19</v>
      </c>
      <c r="AO13" s="112"/>
      <c r="AP13" s="111" t="s">
        <v>20</v>
      </c>
      <c r="AQ13" s="112"/>
      <c r="AR13" s="111" t="s">
        <v>21</v>
      </c>
      <c r="AS13" s="112"/>
      <c r="AT13" s="111" t="s">
        <v>22</v>
      </c>
      <c r="AU13" s="112"/>
      <c r="AV13" s="111" t="s">
        <v>23</v>
      </c>
      <c r="AW13" s="112"/>
      <c r="AX13" s="111" t="s">
        <v>24</v>
      </c>
      <c r="AY13" s="112"/>
      <c r="AZ13" s="111" t="s">
        <v>25</v>
      </c>
      <c r="BA13" s="112"/>
      <c r="BB13" s="111" t="s">
        <v>26</v>
      </c>
      <c r="BC13" s="112"/>
      <c r="BD13" s="111" t="s">
        <v>27</v>
      </c>
      <c r="BE13" s="112"/>
      <c r="BF13" s="111" t="s">
        <v>28</v>
      </c>
      <c r="BG13" s="112"/>
      <c r="BH13" s="111" t="s">
        <v>29</v>
      </c>
      <c r="BI13" s="112"/>
      <c r="BJ13" s="111" t="s">
        <v>30</v>
      </c>
      <c r="BK13" s="112"/>
      <c r="BL13" s="115" t="s">
        <v>31</v>
      </c>
      <c r="BM13" s="116"/>
      <c r="BN13" s="111" t="s">
        <v>32</v>
      </c>
      <c r="BO13" s="112"/>
      <c r="BP13" s="113" t="s">
        <v>33</v>
      </c>
      <c r="BQ13" s="114"/>
    </row>
    <row r="14" spans="1:69" ht="30" x14ac:dyDescent="0.25">
      <c r="A14" s="1"/>
      <c r="B14" s="66" t="s">
        <v>298</v>
      </c>
      <c r="C14" s="67" t="s">
        <v>299</v>
      </c>
      <c r="D14" s="66" t="s">
        <v>298</v>
      </c>
      <c r="E14" s="67" t="s">
        <v>299</v>
      </c>
      <c r="F14" s="66" t="s">
        <v>298</v>
      </c>
      <c r="G14" s="67" t="s">
        <v>299</v>
      </c>
      <c r="H14" s="66" t="s">
        <v>298</v>
      </c>
      <c r="I14" s="67" t="s">
        <v>299</v>
      </c>
      <c r="J14" s="66" t="s">
        <v>298</v>
      </c>
      <c r="K14" s="67" t="s">
        <v>299</v>
      </c>
      <c r="L14" s="66" t="s">
        <v>298</v>
      </c>
      <c r="M14" s="67" t="s">
        <v>299</v>
      </c>
      <c r="N14" s="66" t="s">
        <v>298</v>
      </c>
      <c r="O14" s="67" t="s">
        <v>299</v>
      </c>
      <c r="P14" s="66" t="s">
        <v>298</v>
      </c>
      <c r="Q14" s="67" t="s">
        <v>299</v>
      </c>
      <c r="R14" s="66" t="s">
        <v>298</v>
      </c>
      <c r="S14" s="67" t="s">
        <v>299</v>
      </c>
      <c r="T14" s="66" t="s">
        <v>298</v>
      </c>
      <c r="U14" s="67" t="s">
        <v>299</v>
      </c>
      <c r="V14" s="66" t="s">
        <v>298</v>
      </c>
      <c r="W14" s="67" t="s">
        <v>299</v>
      </c>
      <c r="X14" s="66" t="s">
        <v>298</v>
      </c>
      <c r="Y14" s="67" t="s">
        <v>299</v>
      </c>
      <c r="Z14" s="66" t="s">
        <v>298</v>
      </c>
      <c r="AA14" s="67" t="s">
        <v>299</v>
      </c>
      <c r="AB14" s="66" t="s">
        <v>298</v>
      </c>
      <c r="AC14" s="67" t="s">
        <v>299</v>
      </c>
      <c r="AD14" s="66" t="s">
        <v>298</v>
      </c>
      <c r="AE14" s="67" t="s">
        <v>299</v>
      </c>
      <c r="AF14" s="66" t="s">
        <v>298</v>
      </c>
      <c r="AG14" s="67" t="s">
        <v>299</v>
      </c>
      <c r="AH14" s="66" t="s">
        <v>298</v>
      </c>
      <c r="AI14" s="67" t="s">
        <v>299</v>
      </c>
      <c r="AJ14" s="66" t="s">
        <v>298</v>
      </c>
      <c r="AK14" s="67" t="s">
        <v>299</v>
      </c>
      <c r="AL14" s="66" t="s">
        <v>298</v>
      </c>
      <c r="AM14" s="67" t="s">
        <v>299</v>
      </c>
      <c r="AN14" s="66" t="s">
        <v>298</v>
      </c>
      <c r="AO14" s="67" t="s">
        <v>299</v>
      </c>
      <c r="AP14" s="66" t="s">
        <v>298</v>
      </c>
      <c r="AQ14" s="67" t="s">
        <v>299</v>
      </c>
      <c r="AR14" s="66" t="s">
        <v>298</v>
      </c>
      <c r="AS14" s="67" t="s">
        <v>299</v>
      </c>
      <c r="AT14" s="66" t="s">
        <v>298</v>
      </c>
      <c r="AU14" s="67" t="s">
        <v>299</v>
      </c>
      <c r="AV14" s="66" t="s">
        <v>298</v>
      </c>
      <c r="AW14" s="67" t="s">
        <v>299</v>
      </c>
      <c r="AX14" s="66" t="s">
        <v>298</v>
      </c>
      <c r="AY14" s="67" t="s">
        <v>299</v>
      </c>
      <c r="AZ14" s="66" t="s">
        <v>298</v>
      </c>
      <c r="BA14" s="67" t="s">
        <v>299</v>
      </c>
      <c r="BB14" s="66" t="s">
        <v>298</v>
      </c>
      <c r="BC14" s="67" t="s">
        <v>299</v>
      </c>
      <c r="BD14" s="66" t="s">
        <v>298</v>
      </c>
      <c r="BE14" s="67" t="s">
        <v>299</v>
      </c>
      <c r="BF14" s="66" t="s">
        <v>298</v>
      </c>
      <c r="BG14" s="67" t="s">
        <v>299</v>
      </c>
      <c r="BH14" s="66" t="s">
        <v>298</v>
      </c>
      <c r="BI14" s="67" t="s">
        <v>299</v>
      </c>
      <c r="BJ14" s="66" t="s">
        <v>298</v>
      </c>
      <c r="BK14" s="67" t="s">
        <v>299</v>
      </c>
      <c r="BL14" s="66" t="s">
        <v>298</v>
      </c>
      <c r="BM14" s="67" t="s">
        <v>299</v>
      </c>
      <c r="BN14" s="66" t="s">
        <v>298</v>
      </c>
      <c r="BO14" s="67" t="s">
        <v>299</v>
      </c>
      <c r="BP14" s="66" t="s">
        <v>298</v>
      </c>
      <c r="BQ14" s="67" t="s">
        <v>299</v>
      </c>
    </row>
    <row r="15" spans="1:69" x14ac:dyDescent="0.25">
      <c r="A15" s="10" t="s">
        <v>283</v>
      </c>
      <c r="B15" s="10"/>
      <c r="C15" s="10"/>
      <c r="D15" s="10"/>
      <c r="E15" s="10"/>
      <c r="F15" s="10"/>
      <c r="G15" s="10"/>
      <c r="H15" s="10"/>
      <c r="I15" s="10"/>
      <c r="J15" s="10">
        <v>463269</v>
      </c>
      <c r="K15" s="10">
        <v>1766466</v>
      </c>
      <c r="L15" s="10">
        <v>177323</v>
      </c>
      <c r="M15" s="10">
        <v>818772</v>
      </c>
      <c r="N15" s="10">
        <v>281493</v>
      </c>
      <c r="O15" s="10">
        <v>896464</v>
      </c>
      <c r="P15" s="10"/>
      <c r="Q15" s="10"/>
      <c r="R15" s="10">
        <v>4369</v>
      </c>
      <c r="S15" s="10">
        <v>14307</v>
      </c>
      <c r="T15" s="10"/>
      <c r="U15" s="10"/>
      <c r="V15" s="10">
        <v>167628</v>
      </c>
      <c r="W15" s="10">
        <v>647236</v>
      </c>
      <c r="X15" s="10">
        <v>6249</v>
      </c>
      <c r="Y15" s="10">
        <v>18640</v>
      </c>
      <c r="Z15" s="10">
        <f>37727+309624</f>
        <v>347351</v>
      </c>
      <c r="AA15" s="10">
        <f>230254+1613803</f>
        <v>1844057</v>
      </c>
      <c r="AB15" s="10">
        <v>947435</v>
      </c>
      <c r="AC15" s="10">
        <v>4845884</v>
      </c>
      <c r="AD15" s="10">
        <v>409456</v>
      </c>
      <c r="AE15" s="10">
        <v>1767932</v>
      </c>
      <c r="AF15" s="10"/>
      <c r="AG15" s="10"/>
      <c r="AH15" s="10">
        <v>58788</v>
      </c>
      <c r="AI15" s="10">
        <v>272444</v>
      </c>
      <c r="AJ15" s="10">
        <v>103857</v>
      </c>
      <c r="AK15" s="10">
        <v>211609</v>
      </c>
      <c r="AL15" s="10"/>
      <c r="AM15" s="10"/>
      <c r="AN15" s="10"/>
      <c r="AO15" s="10"/>
      <c r="AP15" s="10">
        <v>748996.88718821027</v>
      </c>
      <c r="AQ15" s="10">
        <v>2420934.88468125</v>
      </c>
      <c r="AR15" s="10">
        <v>1894659</v>
      </c>
      <c r="AS15" s="36">
        <v>7839736</v>
      </c>
      <c r="AT15" s="10">
        <v>894191</v>
      </c>
      <c r="AU15" s="10">
        <v>3856692</v>
      </c>
      <c r="AV15" s="10">
        <v>2</v>
      </c>
      <c r="AW15" s="10">
        <v>143</v>
      </c>
      <c r="AX15" s="10">
        <v>137622</v>
      </c>
      <c r="AY15" s="10">
        <v>1137373</v>
      </c>
      <c r="AZ15" s="10"/>
      <c r="BA15" s="10"/>
      <c r="BB15" s="10">
        <v>83898</v>
      </c>
      <c r="BC15" s="10">
        <v>382519</v>
      </c>
      <c r="BD15" s="10">
        <v>55378</v>
      </c>
      <c r="BE15" s="10">
        <v>281737</v>
      </c>
      <c r="BF15" s="36">
        <v>2612</v>
      </c>
      <c r="BG15" s="36">
        <v>14637</v>
      </c>
      <c r="BH15" s="10"/>
      <c r="BI15" s="10"/>
      <c r="BJ15" s="10">
        <v>739246</v>
      </c>
      <c r="BK15" s="10">
        <v>3120133</v>
      </c>
      <c r="BL15" s="10">
        <v>671441</v>
      </c>
      <c r="BM15" s="10">
        <v>3546035</v>
      </c>
      <c r="BN15" s="10">
        <f>24871+66708</f>
        <v>91579</v>
      </c>
      <c r="BO15" s="10">
        <f>153393+197110</f>
        <v>350503</v>
      </c>
      <c r="BP15" s="82">
        <f t="shared" ref="BP15:BP19" si="2">B15+D15+F15+H15+J15+L15+N15+P15+R15+T15+V15+X15+Z15+AB15+AD15+AF15+AH15+AJ15+AL15+AN15+AP15+AR15+AT15+AV15+AX15+AZ15+BB15+BD15+BF15+BH15+BJ15+BL15+BN15</f>
        <v>8286842.8871882102</v>
      </c>
      <c r="BQ15" s="82">
        <f t="shared" ref="BQ15:BQ19" si="3">C15+E15+G15+I15+K15+M15+O15+Q15+S15+U15+W15+Y15+AA15+AC15+AE15+AG15+AI15+AK15+AM15+AO15+AQ15+AS15+AU15+AW15+AY15+BA15+BC15+BE15+BG15+BI15+BK15+BM15+BO15</f>
        <v>36054253.884681255</v>
      </c>
    </row>
    <row r="16" spans="1:69" x14ac:dyDescent="0.25">
      <c r="A16" s="10" t="s">
        <v>286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>
        <v>1458</v>
      </c>
      <c r="M16" s="10">
        <v>9839</v>
      </c>
      <c r="N16" s="10"/>
      <c r="O16" s="10"/>
      <c r="P16" s="10"/>
      <c r="Q16" s="10"/>
      <c r="R16" s="10"/>
      <c r="S16" s="10"/>
      <c r="T16" s="10"/>
      <c r="U16" s="10"/>
      <c r="V16" s="10">
        <v>5257</v>
      </c>
      <c r="W16" s="10">
        <v>24004</v>
      </c>
      <c r="X16" s="10">
        <v>193</v>
      </c>
      <c r="Y16" s="10">
        <v>666</v>
      </c>
      <c r="Z16" s="10">
        <v>23627</v>
      </c>
      <c r="AA16" s="10">
        <v>102814</v>
      </c>
      <c r="AB16" s="10">
        <v>15812</v>
      </c>
      <c r="AC16" s="10">
        <v>155854</v>
      </c>
      <c r="AD16" s="10">
        <v>-4893</v>
      </c>
      <c r="AE16" s="10">
        <v>7411</v>
      </c>
      <c r="AF16" s="10"/>
      <c r="AG16" s="10"/>
      <c r="AH16" s="10"/>
      <c r="AI16" s="10"/>
      <c r="AJ16" s="10">
        <v>2945</v>
      </c>
      <c r="AK16" s="10">
        <v>28187</v>
      </c>
      <c r="AL16" s="10"/>
      <c r="AM16" s="10"/>
      <c r="AN16" s="10"/>
      <c r="AO16" s="10"/>
      <c r="AP16" s="10">
        <v>30883.589000000007</v>
      </c>
      <c r="AQ16" s="10">
        <v>149267.28</v>
      </c>
      <c r="AR16" s="36">
        <v>276023</v>
      </c>
      <c r="AS16" s="36">
        <v>635033</v>
      </c>
      <c r="AT16" s="10">
        <v>14688</v>
      </c>
      <c r="AU16" s="10">
        <v>163987</v>
      </c>
      <c r="AV16" s="10"/>
      <c r="AW16" s="10"/>
      <c r="AX16" s="10"/>
      <c r="AY16" s="10"/>
      <c r="AZ16" s="10"/>
      <c r="BA16" s="10"/>
      <c r="BB16" s="10">
        <v>1653</v>
      </c>
      <c r="BC16" s="10">
        <v>7954</v>
      </c>
      <c r="BD16" s="10"/>
      <c r="BE16" s="10"/>
      <c r="BF16" s="10"/>
      <c r="BG16" s="10"/>
      <c r="BH16" s="10"/>
      <c r="BI16" s="10"/>
      <c r="BJ16" s="10">
        <v>96799</v>
      </c>
      <c r="BK16" s="10">
        <v>313667</v>
      </c>
      <c r="BL16" s="10">
        <v>68241</v>
      </c>
      <c r="BM16" s="10">
        <v>163309</v>
      </c>
      <c r="BN16" s="10"/>
      <c r="BO16" s="10"/>
      <c r="BP16" s="82">
        <f t="shared" si="2"/>
        <v>532686.58900000004</v>
      </c>
      <c r="BQ16" s="82">
        <f t="shared" si="3"/>
        <v>1761992.28</v>
      </c>
    </row>
    <row r="17" spans="1:69" x14ac:dyDescent="0.25">
      <c r="A17" s="10" t="s">
        <v>287</v>
      </c>
      <c r="B17" s="10"/>
      <c r="C17" s="10"/>
      <c r="D17" s="10"/>
      <c r="E17" s="10"/>
      <c r="F17" s="10"/>
      <c r="G17" s="10"/>
      <c r="H17" s="10"/>
      <c r="I17" s="10"/>
      <c r="J17" s="10">
        <v>201271</v>
      </c>
      <c r="K17" s="10">
        <v>642533</v>
      </c>
      <c r="L17" s="10">
        <v>57503</v>
      </c>
      <c r="M17" s="10">
        <v>277435</v>
      </c>
      <c r="N17" s="10">
        <v>228603</v>
      </c>
      <c r="O17" s="10">
        <v>674466</v>
      </c>
      <c r="P17" s="10"/>
      <c r="Q17" s="10"/>
      <c r="R17" s="10">
        <v>3544</v>
      </c>
      <c r="S17" s="10">
        <v>14016</v>
      </c>
      <c r="T17" s="10"/>
      <c r="U17" s="10"/>
      <c r="V17" s="10">
        <v>53252</v>
      </c>
      <c r="W17" s="10">
        <v>144863</v>
      </c>
      <c r="X17" s="10">
        <v>6369</v>
      </c>
      <c r="Y17" s="10">
        <v>18939</v>
      </c>
      <c r="Z17" s="10">
        <f>-37677-201081</f>
        <v>-238758</v>
      </c>
      <c r="AA17" s="10">
        <f>-229492-998423</f>
        <v>-1227915</v>
      </c>
      <c r="AB17" s="10">
        <v>426766</v>
      </c>
      <c r="AC17" s="10">
        <v>2427439</v>
      </c>
      <c r="AD17" s="10">
        <v>258141</v>
      </c>
      <c r="AE17" s="10">
        <v>987603</v>
      </c>
      <c r="AF17" s="10"/>
      <c r="AG17" s="10"/>
      <c r="AH17" s="10">
        <v>1229</v>
      </c>
      <c r="AI17" s="10">
        <v>46709</v>
      </c>
      <c r="AJ17" s="10">
        <v>-102594</v>
      </c>
      <c r="AK17" s="10">
        <v>-229426</v>
      </c>
      <c r="AL17" s="10"/>
      <c r="AM17" s="10"/>
      <c r="AN17" s="10"/>
      <c r="AO17" s="10"/>
      <c r="AP17" s="10">
        <v>506718.83940568613</v>
      </c>
      <c r="AQ17" s="10">
        <v>1192987.09451875</v>
      </c>
      <c r="AR17" s="36">
        <v>1287464</v>
      </c>
      <c r="AS17" s="36">
        <v>4140140</v>
      </c>
      <c r="AT17" s="10">
        <v>470312</v>
      </c>
      <c r="AU17" s="10">
        <v>1958731</v>
      </c>
      <c r="AV17" s="10">
        <v>-27</v>
      </c>
      <c r="AW17" s="10">
        <v>3</v>
      </c>
      <c r="AX17" s="10">
        <v>193457</v>
      </c>
      <c r="AY17" s="10">
        <v>1065985</v>
      </c>
      <c r="AZ17" s="10"/>
      <c r="BA17" s="10"/>
      <c r="BB17" s="10">
        <v>-34642</v>
      </c>
      <c r="BC17" s="10">
        <v>-186676</v>
      </c>
      <c r="BD17" s="10">
        <v>17927</v>
      </c>
      <c r="BE17" s="10">
        <v>81605</v>
      </c>
      <c r="BF17" s="36">
        <v>883</v>
      </c>
      <c r="BG17" s="36">
        <v>5398</v>
      </c>
      <c r="BH17" s="10"/>
      <c r="BI17" s="10"/>
      <c r="BJ17" s="10">
        <v>116994</v>
      </c>
      <c r="BK17" s="10">
        <v>437391</v>
      </c>
      <c r="BL17" s="10">
        <v>311195</v>
      </c>
      <c r="BM17" s="10">
        <v>1584283</v>
      </c>
      <c r="BN17" s="10">
        <f>13824+65663</f>
        <v>79487</v>
      </c>
      <c r="BO17" s="10">
        <f>92512+193047</f>
        <v>285559</v>
      </c>
      <c r="BP17" s="82">
        <f t="shared" si="2"/>
        <v>3845094.8394056861</v>
      </c>
      <c r="BQ17" s="82">
        <f t="shared" si="3"/>
        <v>14342068.094518751</v>
      </c>
    </row>
    <row r="18" spans="1:69" x14ac:dyDescent="0.25">
      <c r="A18" s="10" t="s">
        <v>241</v>
      </c>
      <c r="B18" s="10"/>
      <c r="C18" s="10"/>
      <c r="D18" s="10"/>
      <c r="E18" s="10"/>
      <c r="F18" s="10"/>
      <c r="G18" s="10"/>
      <c r="H18" s="10"/>
      <c r="I18" s="10"/>
      <c r="J18" s="10">
        <v>261998</v>
      </c>
      <c r="K18" s="10">
        <v>1123933</v>
      </c>
      <c r="L18" s="10">
        <v>121278</v>
      </c>
      <c r="M18" s="10">
        <v>551176</v>
      </c>
      <c r="N18" s="10">
        <v>52890</v>
      </c>
      <c r="O18" s="10">
        <v>221998</v>
      </c>
      <c r="P18" s="10"/>
      <c r="Q18" s="10"/>
      <c r="R18" s="10">
        <v>825</v>
      </c>
      <c r="S18" s="10">
        <v>291</v>
      </c>
      <c r="T18" s="10"/>
      <c r="U18" s="10"/>
      <c r="V18" s="10">
        <v>119633</v>
      </c>
      <c r="W18" s="10">
        <v>526378</v>
      </c>
      <c r="X18" s="10">
        <v>73</v>
      </c>
      <c r="Y18" s="10">
        <v>367</v>
      </c>
      <c r="Z18" s="10">
        <f>51+132170</f>
        <v>132221</v>
      </c>
      <c r="AA18" s="10">
        <f>762+718194</f>
        <v>718956</v>
      </c>
      <c r="AB18" s="10">
        <v>536481</v>
      </c>
      <c r="AC18" s="10">
        <v>2574299</v>
      </c>
      <c r="AD18" s="10">
        <v>146422</v>
      </c>
      <c r="AE18" s="10">
        <v>787740</v>
      </c>
      <c r="AF18" s="10"/>
      <c r="AG18" s="10"/>
      <c r="AH18" s="10">
        <v>57559</v>
      </c>
      <c r="AI18" s="10">
        <v>225736</v>
      </c>
      <c r="AJ18" s="10">
        <v>4208</v>
      </c>
      <c r="AK18" s="10">
        <v>10370</v>
      </c>
      <c r="AL18" s="10"/>
      <c r="AM18" s="10"/>
      <c r="AN18" s="10"/>
      <c r="AO18" s="10"/>
      <c r="AP18" s="10">
        <v>273161.63678252412</v>
      </c>
      <c r="AQ18" s="10">
        <v>1377215.0701624998</v>
      </c>
      <c r="AR18" s="36">
        <v>883218</v>
      </c>
      <c r="AS18" s="36">
        <v>4334630</v>
      </c>
      <c r="AT18" s="10">
        <v>438567</v>
      </c>
      <c r="AU18" s="10">
        <v>2061948</v>
      </c>
      <c r="AV18" s="10">
        <v>29</v>
      </c>
      <c r="AW18" s="10">
        <v>140</v>
      </c>
      <c r="AX18" s="10">
        <v>-55835</v>
      </c>
      <c r="AY18" s="10">
        <v>71388</v>
      </c>
      <c r="AZ18" s="10"/>
      <c r="BA18" s="10"/>
      <c r="BB18" s="10">
        <v>50909</v>
      </c>
      <c r="BC18" s="10">
        <v>203797</v>
      </c>
      <c r="BD18" s="10">
        <v>37451</v>
      </c>
      <c r="BE18" s="10">
        <v>200132</v>
      </c>
      <c r="BF18" s="36">
        <v>1728</v>
      </c>
      <c r="BG18" s="36">
        <v>9239</v>
      </c>
      <c r="BH18" s="10"/>
      <c r="BI18" s="10"/>
      <c r="BJ18" s="10">
        <v>719051</v>
      </c>
      <c r="BK18" s="10">
        <v>2996409</v>
      </c>
      <c r="BL18" s="10">
        <v>428487</v>
      </c>
      <c r="BM18" s="10">
        <v>2125061</v>
      </c>
      <c r="BN18" s="10">
        <f>11047+1045</f>
        <v>12092</v>
      </c>
      <c r="BO18" s="10">
        <f>60881+4063</f>
        <v>64944</v>
      </c>
      <c r="BP18" s="82">
        <f t="shared" si="2"/>
        <v>4222446.6367825242</v>
      </c>
      <c r="BQ18" s="82">
        <f t="shared" si="3"/>
        <v>20186147.070162497</v>
      </c>
    </row>
    <row r="19" spans="1:69" x14ac:dyDescent="0.25">
      <c r="A19" s="10" t="s">
        <v>242</v>
      </c>
      <c r="B19" s="10"/>
      <c r="C19" s="10"/>
      <c r="D19" s="10"/>
      <c r="E19" s="10"/>
      <c r="F19" s="10"/>
      <c r="G19" s="10"/>
      <c r="H19" s="10"/>
      <c r="I19" s="10"/>
      <c r="J19" s="10">
        <v>308947</v>
      </c>
      <c r="K19" s="10">
        <v>1173990</v>
      </c>
      <c r="L19" s="10">
        <v>166714</v>
      </c>
      <c r="M19" s="10">
        <v>531973</v>
      </c>
      <c r="N19" s="10">
        <v>58088</v>
      </c>
      <c r="O19" s="10">
        <v>199862</v>
      </c>
      <c r="P19" s="10"/>
      <c r="Q19" s="10"/>
      <c r="R19" s="10">
        <v>817</v>
      </c>
      <c r="S19" s="10">
        <v>-794</v>
      </c>
      <c r="T19" s="10"/>
      <c r="U19" s="10"/>
      <c r="V19" s="10">
        <v>140108</v>
      </c>
      <c r="W19" s="10">
        <v>523435</v>
      </c>
      <c r="X19" s="10">
        <v>173</v>
      </c>
      <c r="Y19" s="10">
        <v>445</v>
      </c>
      <c r="Z19" s="10">
        <f>403+168103</f>
        <v>168506</v>
      </c>
      <c r="AA19" s="10">
        <f>1396+719855</f>
        <v>721251</v>
      </c>
      <c r="AB19" s="10">
        <v>698383</v>
      </c>
      <c r="AC19" s="10">
        <v>2563182</v>
      </c>
      <c r="AD19" s="10">
        <v>209590</v>
      </c>
      <c r="AE19" s="10">
        <v>736848</v>
      </c>
      <c r="AF19" s="10"/>
      <c r="AG19" s="10"/>
      <c r="AH19" s="10">
        <v>63374</v>
      </c>
      <c r="AI19" s="10">
        <v>233572</v>
      </c>
      <c r="AJ19" s="10">
        <v>2069</v>
      </c>
      <c r="AK19" s="10">
        <v>9356</v>
      </c>
      <c r="AL19" s="10"/>
      <c r="AM19" s="10"/>
      <c r="AN19" s="10"/>
      <c r="AO19" s="10"/>
      <c r="AP19" s="10">
        <v>379415.92287252418</v>
      </c>
      <c r="AQ19" s="10">
        <v>1532594.7361624998</v>
      </c>
      <c r="AR19" s="36">
        <v>1182407</v>
      </c>
      <c r="AS19" s="36">
        <v>4293063</v>
      </c>
      <c r="AT19" s="10">
        <v>394101</v>
      </c>
      <c r="AU19" s="10">
        <v>1974473</v>
      </c>
      <c r="AV19" s="10">
        <v>76</v>
      </c>
      <c r="AW19" s="10">
        <v>264</v>
      </c>
      <c r="AX19" s="10">
        <v>18356</v>
      </c>
      <c r="AY19" s="10">
        <v>64008</v>
      </c>
      <c r="AZ19" s="10"/>
      <c r="BA19" s="10"/>
      <c r="BB19" s="10">
        <v>51162</v>
      </c>
      <c r="BC19" s="10">
        <v>199703</v>
      </c>
      <c r="BD19" s="10">
        <v>66850</v>
      </c>
      <c r="BE19" s="10">
        <v>177410</v>
      </c>
      <c r="BF19" s="36">
        <v>2082</v>
      </c>
      <c r="BG19" s="36">
        <v>9480</v>
      </c>
      <c r="BH19" s="10"/>
      <c r="BI19" s="10"/>
      <c r="BJ19" s="10">
        <v>780414</v>
      </c>
      <c r="BK19" s="10">
        <v>2987690</v>
      </c>
      <c r="BL19" s="10">
        <v>434305</v>
      </c>
      <c r="BM19" s="10">
        <v>1966314</v>
      </c>
      <c r="BN19" s="10">
        <f>19584+287</f>
        <v>19871</v>
      </c>
      <c r="BO19" s="10">
        <f>61906+738</f>
        <v>62644</v>
      </c>
      <c r="BP19" s="82">
        <f t="shared" si="2"/>
        <v>5145808.9228725247</v>
      </c>
      <c r="BQ19" s="82">
        <f t="shared" si="3"/>
        <v>19960763.736162499</v>
      </c>
    </row>
    <row r="21" spans="1:69" x14ac:dyDescent="0.25">
      <c r="A21" s="29" t="s">
        <v>230</v>
      </c>
    </row>
    <row r="22" spans="1:69" x14ac:dyDescent="0.25">
      <c r="A22" s="1" t="s">
        <v>0</v>
      </c>
      <c r="B22" s="111" t="s">
        <v>1</v>
      </c>
      <c r="C22" s="112"/>
      <c r="D22" s="111" t="s">
        <v>2</v>
      </c>
      <c r="E22" s="112"/>
      <c r="F22" s="111" t="s">
        <v>3</v>
      </c>
      <c r="G22" s="112"/>
      <c r="H22" s="111" t="s">
        <v>295</v>
      </c>
      <c r="I22" s="112"/>
      <c r="J22" s="111" t="s">
        <v>5</v>
      </c>
      <c r="K22" s="112"/>
      <c r="L22" s="111" t="s">
        <v>6</v>
      </c>
      <c r="M22" s="112"/>
      <c r="N22" s="111" t="s">
        <v>7</v>
      </c>
      <c r="O22" s="112"/>
      <c r="P22" s="111" t="s">
        <v>309</v>
      </c>
      <c r="Q22" s="112"/>
      <c r="R22" s="111" t="s">
        <v>9</v>
      </c>
      <c r="S22" s="112"/>
      <c r="T22" s="111" t="s">
        <v>10</v>
      </c>
      <c r="U22" s="112"/>
      <c r="V22" s="111" t="s">
        <v>11</v>
      </c>
      <c r="W22" s="112"/>
      <c r="X22" s="111" t="s">
        <v>12</v>
      </c>
      <c r="Y22" s="112"/>
      <c r="Z22" s="111" t="s">
        <v>13</v>
      </c>
      <c r="AA22" s="112"/>
      <c r="AB22" s="111" t="s">
        <v>14</v>
      </c>
      <c r="AC22" s="112"/>
      <c r="AD22" s="111" t="s">
        <v>15</v>
      </c>
      <c r="AE22" s="112"/>
      <c r="AF22" s="111" t="s">
        <v>16</v>
      </c>
      <c r="AG22" s="112"/>
      <c r="AH22" s="111" t="s">
        <v>17</v>
      </c>
      <c r="AI22" s="112"/>
      <c r="AJ22" s="111" t="s">
        <v>18</v>
      </c>
      <c r="AK22" s="112"/>
      <c r="AL22" s="111" t="s">
        <v>293</v>
      </c>
      <c r="AM22" s="112"/>
      <c r="AN22" s="111" t="s">
        <v>19</v>
      </c>
      <c r="AO22" s="112"/>
      <c r="AP22" s="111" t="s">
        <v>20</v>
      </c>
      <c r="AQ22" s="112"/>
      <c r="AR22" s="111" t="s">
        <v>21</v>
      </c>
      <c r="AS22" s="112"/>
      <c r="AT22" s="111" t="s">
        <v>22</v>
      </c>
      <c r="AU22" s="112"/>
      <c r="AV22" s="111" t="s">
        <v>23</v>
      </c>
      <c r="AW22" s="112"/>
      <c r="AX22" s="111" t="s">
        <v>24</v>
      </c>
      <c r="AY22" s="112"/>
      <c r="AZ22" s="111" t="s">
        <v>25</v>
      </c>
      <c r="BA22" s="112"/>
      <c r="BB22" s="111" t="s">
        <v>26</v>
      </c>
      <c r="BC22" s="112"/>
      <c r="BD22" s="111" t="s">
        <v>27</v>
      </c>
      <c r="BE22" s="112"/>
      <c r="BF22" s="111" t="s">
        <v>28</v>
      </c>
      <c r="BG22" s="112"/>
      <c r="BH22" s="111" t="s">
        <v>29</v>
      </c>
      <c r="BI22" s="112"/>
      <c r="BJ22" s="111" t="s">
        <v>30</v>
      </c>
      <c r="BK22" s="112"/>
      <c r="BL22" s="115" t="s">
        <v>31</v>
      </c>
      <c r="BM22" s="116"/>
      <c r="BN22" s="111" t="s">
        <v>32</v>
      </c>
      <c r="BO22" s="112"/>
      <c r="BP22" s="113" t="s">
        <v>33</v>
      </c>
      <c r="BQ22" s="114"/>
    </row>
    <row r="23" spans="1:69" ht="30" x14ac:dyDescent="0.25">
      <c r="A23" s="1"/>
      <c r="B23" s="66" t="s">
        <v>298</v>
      </c>
      <c r="C23" s="67" t="s">
        <v>299</v>
      </c>
      <c r="D23" s="66" t="s">
        <v>298</v>
      </c>
      <c r="E23" s="67" t="s">
        <v>299</v>
      </c>
      <c r="F23" s="66" t="s">
        <v>298</v>
      </c>
      <c r="G23" s="67" t="s">
        <v>299</v>
      </c>
      <c r="H23" s="66" t="s">
        <v>298</v>
      </c>
      <c r="I23" s="67" t="s">
        <v>299</v>
      </c>
      <c r="J23" s="66" t="s">
        <v>298</v>
      </c>
      <c r="K23" s="67" t="s">
        <v>299</v>
      </c>
      <c r="L23" s="66" t="s">
        <v>298</v>
      </c>
      <c r="M23" s="67" t="s">
        <v>299</v>
      </c>
      <c r="N23" s="66" t="s">
        <v>298</v>
      </c>
      <c r="O23" s="67" t="s">
        <v>299</v>
      </c>
      <c r="P23" s="66" t="s">
        <v>298</v>
      </c>
      <c r="Q23" s="67" t="s">
        <v>299</v>
      </c>
      <c r="R23" s="66" t="s">
        <v>298</v>
      </c>
      <c r="S23" s="67" t="s">
        <v>299</v>
      </c>
      <c r="T23" s="66" t="s">
        <v>298</v>
      </c>
      <c r="U23" s="67" t="s">
        <v>299</v>
      </c>
      <c r="V23" s="66" t="s">
        <v>298</v>
      </c>
      <c r="W23" s="67" t="s">
        <v>299</v>
      </c>
      <c r="X23" s="66" t="s">
        <v>298</v>
      </c>
      <c r="Y23" s="67" t="s">
        <v>299</v>
      </c>
      <c r="Z23" s="66" t="s">
        <v>298</v>
      </c>
      <c r="AA23" s="67" t="s">
        <v>299</v>
      </c>
      <c r="AB23" s="66" t="s">
        <v>298</v>
      </c>
      <c r="AC23" s="67" t="s">
        <v>299</v>
      </c>
      <c r="AD23" s="66" t="s">
        <v>298</v>
      </c>
      <c r="AE23" s="67" t="s">
        <v>299</v>
      </c>
      <c r="AF23" s="66" t="s">
        <v>298</v>
      </c>
      <c r="AG23" s="67" t="s">
        <v>299</v>
      </c>
      <c r="AH23" s="66" t="s">
        <v>298</v>
      </c>
      <c r="AI23" s="67" t="s">
        <v>299</v>
      </c>
      <c r="AJ23" s="66" t="s">
        <v>298</v>
      </c>
      <c r="AK23" s="67" t="s">
        <v>299</v>
      </c>
      <c r="AL23" s="66" t="s">
        <v>298</v>
      </c>
      <c r="AM23" s="67" t="s">
        <v>299</v>
      </c>
      <c r="AN23" s="66" t="s">
        <v>298</v>
      </c>
      <c r="AO23" s="67" t="s">
        <v>299</v>
      </c>
      <c r="AP23" s="66" t="s">
        <v>298</v>
      </c>
      <c r="AQ23" s="67" t="s">
        <v>299</v>
      </c>
      <c r="AR23" s="66" t="s">
        <v>298</v>
      </c>
      <c r="AS23" s="67" t="s">
        <v>299</v>
      </c>
      <c r="AT23" s="66" t="s">
        <v>298</v>
      </c>
      <c r="AU23" s="67" t="s">
        <v>299</v>
      </c>
      <c r="AV23" s="66" t="s">
        <v>298</v>
      </c>
      <c r="AW23" s="67" t="s">
        <v>299</v>
      </c>
      <c r="AX23" s="66" t="s">
        <v>298</v>
      </c>
      <c r="AY23" s="67" t="s">
        <v>299</v>
      </c>
      <c r="AZ23" s="66" t="s">
        <v>298</v>
      </c>
      <c r="BA23" s="67" t="s">
        <v>299</v>
      </c>
      <c r="BB23" s="66" t="s">
        <v>298</v>
      </c>
      <c r="BC23" s="67" t="s">
        <v>299</v>
      </c>
      <c r="BD23" s="66" t="s">
        <v>298</v>
      </c>
      <c r="BE23" s="67" t="s">
        <v>299</v>
      </c>
      <c r="BF23" s="66" t="s">
        <v>298</v>
      </c>
      <c r="BG23" s="67" t="s">
        <v>299</v>
      </c>
      <c r="BH23" s="66" t="s">
        <v>298</v>
      </c>
      <c r="BI23" s="67" t="s">
        <v>299</v>
      </c>
      <c r="BJ23" s="66" t="s">
        <v>298</v>
      </c>
      <c r="BK23" s="67" t="s">
        <v>299</v>
      </c>
      <c r="BL23" s="66" t="s">
        <v>298</v>
      </c>
      <c r="BM23" s="67" t="s">
        <v>299</v>
      </c>
      <c r="BN23" s="66" t="s">
        <v>298</v>
      </c>
      <c r="BO23" s="67" t="s">
        <v>299</v>
      </c>
      <c r="BP23" s="66" t="s">
        <v>298</v>
      </c>
      <c r="BQ23" s="67" t="s">
        <v>299</v>
      </c>
    </row>
    <row r="24" spans="1:69" x14ac:dyDescent="0.25">
      <c r="A24" s="10" t="s">
        <v>283</v>
      </c>
      <c r="B24" s="10">
        <v>551568</v>
      </c>
      <c r="C24" s="10">
        <v>2187439</v>
      </c>
      <c r="D24" s="10"/>
      <c r="E24" s="10"/>
      <c r="F24" s="10"/>
      <c r="G24" s="10"/>
      <c r="H24" s="10"/>
      <c r="I24" s="10"/>
      <c r="J24" s="10">
        <v>12308966</v>
      </c>
      <c r="K24" s="10">
        <v>52305201</v>
      </c>
      <c r="L24" s="10">
        <v>3657311</v>
      </c>
      <c r="M24" s="10">
        <v>14877912</v>
      </c>
      <c r="N24" s="10">
        <v>8208978</v>
      </c>
      <c r="O24" s="10">
        <v>32447730</v>
      </c>
      <c r="P24" s="10">
        <v>68857</v>
      </c>
      <c r="Q24" s="10">
        <v>880284</v>
      </c>
      <c r="R24" s="10">
        <v>357196</v>
      </c>
      <c r="S24" s="10">
        <v>764422</v>
      </c>
      <c r="T24" s="10"/>
      <c r="U24" s="10"/>
      <c r="V24" s="10">
        <v>3874281</v>
      </c>
      <c r="W24" s="10">
        <v>13554526</v>
      </c>
      <c r="X24" s="10">
        <v>2576632</v>
      </c>
      <c r="Y24" s="10">
        <v>16495116</v>
      </c>
      <c r="Z24" s="10">
        <f>5621510+3660121</f>
        <v>9281631</v>
      </c>
      <c r="AA24" s="10">
        <f>18178476+15702268</f>
        <v>33880744</v>
      </c>
      <c r="AB24" s="10">
        <v>17460552</v>
      </c>
      <c r="AC24" s="10">
        <v>67876318</v>
      </c>
      <c r="AD24" s="10">
        <v>9692139</v>
      </c>
      <c r="AE24" s="10">
        <v>35267069</v>
      </c>
      <c r="AF24" s="10">
        <v>717110</v>
      </c>
      <c r="AG24" s="10">
        <v>2497883</v>
      </c>
      <c r="AH24" s="10">
        <v>2771835</v>
      </c>
      <c r="AI24" s="10">
        <f>5967380+4501449</f>
        <v>10468829</v>
      </c>
      <c r="AJ24" s="10">
        <v>2578698</v>
      </c>
      <c r="AK24" s="10">
        <v>10291280</v>
      </c>
      <c r="AL24" s="10"/>
      <c r="AM24" s="10"/>
      <c r="AN24" s="10"/>
      <c r="AO24" s="10"/>
      <c r="AP24" s="10">
        <v>14032546.316217059</v>
      </c>
      <c r="AQ24" s="10">
        <v>57508170.203800008</v>
      </c>
      <c r="AR24" s="36">
        <v>28313513</v>
      </c>
      <c r="AS24" s="36">
        <v>105591669</v>
      </c>
      <c r="AT24" s="10">
        <v>11100925</v>
      </c>
      <c r="AU24" s="10">
        <v>43157274</v>
      </c>
      <c r="AV24" s="10">
        <f>420894+77152</f>
        <v>498046</v>
      </c>
      <c r="AW24" s="10">
        <f>81099+956416</f>
        <v>1037515</v>
      </c>
      <c r="AX24" s="10">
        <v>6290008</v>
      </c>
      <c r="AY24" s="10">
        <v>31092278</v>
      </c>
      <c r="AZ24" s="10"/>
      <c r="BA24" s="10"/>
      <c r="BB24" s="10">
        <v>5324962</v>
      </c>
      <c r="BC24" s="10">
        <v>20816046</v>
      </c>
      <c r="BD24" s="10">
        <v>6791626</v>
      </c>
      <c r="BE24" s="10">
        <v>15685317</v>
      </c>
      <c r="BF24" s="36">
        <v>6497576</v>
      </c>
      <c r="BG24" s="36">
        <v>23815550</v>
      </c>
      <c r="BH24" s="10"/>
      <c r="BI24" s="10"/>
      <c r="BJ24" s="10">
        <v>10069983</v>
      </c>
      <c r="BK24" s="10">
        <v>40371500</v>
      </c>
      <c r="BL24" s="10">
        <v>16232026</v>
      </c>
      <c r="BM24" s="10">
        <v>65407006</v>
      </c>
      <c r="BN24" s="10">
        <f>1251683+1926250</f>
        <v>3177933</v>
      </c>
      <c r="BO24" s="10">
        <f>3951742+4864202</f>
        <v>8815944</v>
      </c>
      <c r="BP24" s="82">
        <f t="shared" ref="BP24:BP28" si="4">B24+D24+F24+H24+J24+L24+N24+P24+R24+T24+V24+X24+Z24+AB24+AD24+AF24+AH24+AJ24+AL24+AN24+AP24+AR24+AT24+AV24+AX24+AZ24+BB24+BD24+BF24+BH24+BJ24+BL24+BN24</f>
        <v>182434898.31621706</v>
      </c>
      <c r="BQ24" s="82">
        <f t="shared" ref="BQ24:BQ28" si="5">C24+E24+G24+I24+K24+M24+O24+Q24+S24+U24+W24+Y24+AA24+AC24+AE24+AG24+AI24+AK24+AM24+AO24+AQ24+AS24+AU24+AW24+AY24+BA24+BC24+BE24+BG24+BI24+BK24+BM24+BO24</f>
        <v>707093022.20379996</v>
      </c>
    </row>
    <row r="25" spans="1:69" x14ac:dyDescent="0.25">
      <c r="A25" s="10" t="s">
        <v>286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>
        <v>2584648</v>
      </c>
      <c r="Y25" s="10">
        <v>2584648</v>
      </c>
      <c r="Z25" s="10"/>
      <c r="AA25" s="10"/>
      <c r="AB25" s="10">
        <v>88234</v>
      </c>
      <c r="AC25" s="10">
        <v>219681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66.97199999999998</v>
      </c>
      <c r="AQ25" s="10">
        <v>822.72399999999993</v>
      </c>
      <c r="AR25" s="36">
        <v>29482</v>
      </c>
      <c r="AS25" s="36">
        <v>118166</v>
      </c>
      <c r="AT25" s="10">
        <v>478</v>
      </c>
      <c r="AU25" s="10">
        <v>3335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O25" s="10"/>
      <c r="BP25" s="82">
        <f t="shared" si="4"/>
        <v>2702908.9720000001</v>
      </c>
      <c r="BQ25" s="82">
        <f t="shared" si="5"/>
        <v>2926652.7239999999</v>
      </c>
    </row>
    <row r="26" spans="1:69" x14ac:dyDescent="0.25">
      <c r="A26" s="10" t="s">
        <v>287</v>
      </c>
      <c r="B26" s="10">
        <v>354383</v>
      </c>
      <c r="C26" s="10">
        <v>1420739</v>
      </c>
      <c r="D26" s="10"/>
      <c r="E26" s="10"/>
      <c r="F26" s="10"/>
      <c r="G26" s="10"/>
      <c r="H26" s="10"/>
      <c r="I26" s="10"/>
      <c r="J26" s="10">
        <v>647651</v>
      </c>
      <c r="K26" s="10">
        <v>2748234</v>
      </c>
      <c r="L26" s="10">
        <v>226554</v>
      </c>
      <c r="M26" s="10">
        <v>1047150</v>
      </c>
      <c r="N26" s="10">
        <v>1375124</v>
      </c>
      <c r="O26" s="10">
        <v>5512647</v>
      </c>
      <c r="P26" s="10">
        <v>-17100</v>
      </c>
      <c r="Q26" s="10">
        <v>-158862</v>
      </c>
      <c r="R26" s="10">
        <v>28753</v>
      </c>
      <c r="S26" s="10">
        <v>61532</v>
      </c>
      <c r="T26" s="10"/>
      <c r="U26" s="10"/>
      <c r="V26" s="10">
        <v>192092</v>
      </c>
      <c r="W26" s="10">
        <v>814853</v>
      </c>
      <c r="X26" s="10">
        <v>1158610</v>
      </c>
      <c r="Y26" s="10">
        <v>4697178</v>
      </c>
      <c r="Z26" s="10">
        <f>-1751995-748316</f>
        <v>-2500311</v>
      </c>
      <c r="AA26" s="10">
        <f>-5676132-3194070</f>
        <v>-8870202</v>
      </c>
      <c r="AB26" s="10">
        <v>1890869</v>
      </c>
      <c r="AC26" s="10">
        <v>7206715</v>
      </c>
      <c r="AD26" s="10">
        <v>1746264</v>
      </c>
      <c r="AE26" s="10">
        <v>6734524</v>
      </c>
      <c r="AF26" s="10">
        <v>41290</v>
      </c>
      <c r="AG26" s="10">
        <v>145397</v>
      </c>
      <c r="AH26" s="10">
        <v>152173</v>
      </c>
      <c r="AI26" s="10">
        <f>341832+244246</f>
        <v>586078</v>
      </c>
      <c r="AJ26" s="10">
        <v>-722602</v>
      </c>
      <c r="AK26" s="10">
        <v>-2906840</v>
      </c>
      <c r="AL26" s="10"/>
      <c r="AM26" s="10"/>
      <c r="AN26" s="10"/>
      <c r="AO26" s="10"/>
      <c r="AP26" s="10">
        <v>3525109.9072328424</v>
      </c>
      <c r="AQ26" s="10">
        <v>14422599.319856251</v>
      </c>
      <c r="AR26" s="36">
        <v>1789556</v>
      </c>
      <c r="AS26" s="36">
        <v>6119519</v>
      </c>
      <c r="AT26" s="10">
        <v>549301</v>
      </c>
      <c r="AU26" s="10">
        <v>2237945</v>
      </c>
      <c r="AV26" s="10">
        <f>32130+5012</f>
        <v>37142</v>
      </c>
      <c r="AW26" s="10">
        <f>5268+72362</f>
        <v>77630</v>
      </c>
      <c r="AX26" s="10">
        <v>2059242</v>
      </c>
      <c r="AY26" s="10">
        <v>10200665</v>
      </c>
      <c r="AZ26" s="10"/>
      <c r="BA26" s="10"/>
      <c r="BB26" s="10">
        <v>-833204</v>
      </c>
      <c r="BC26" s="10">
        <v>-3454883</v>
      </c>
      <c r="BD26" s="10">
        <v>4005757</v>
      </c>
      <c r="BE26" s="10">
        <v>5936016</v>
      </c>
      <c r="BF26" s="36">
        <v>360411</v>
      </c>
      <c r="BG26" s="36">
        <v>1287821</v>
      </c>
      <c r="BH26" s="10"/>
      <c r="BI26" s="10"/>
      <c r="BJ26" s="10">
        <v>1908474</v>
      </c>
      <c r="BK26" s="10">
        <v>7922958</v>
      </c>
      <c r="BL26" s="10">
        <v>837493</v>
      </c>
      <c r="BM26" s="10">
        <v>3328692</v>
      </c>
      <c r="BN26" s="10">
        <f>63299+142285</f>
        <v>205584</v>
      </c>
      <c r="BO26" s="10">
        <f>222688+322467</f>
        <v>545155</v>
      </c>
      <c r="BP26" s="82">
        <f t="shared" si="4"/>
        <v>19018615.907232843</v>
      </c>
      <c r="BQ26" s="82">
        <f t="shared" si="5"/>
        <v>67663260.319856256</v>
      </c>
    </row>
    <row r="27" spans="1:69" x14ac:dyDescent="0.25">
      <c r="A27" s="10" t="s">
        <v>241</v>
      </c>
      <c r="B27" s="10">
        <v>197185</v>
      </c>
      <c r="C27" s="10">
        <v>766700</v>
      </c>
      <c r="D27" s="10"/>
      <c r="E27" s="10"/>
      <c r="F27" s="10"/>
      <c r="G27" s="10"/>
      <c r="H27" s="10"/>
      <c r="I27" s="10"/>
      <c r="J27" s="10">
        <v>11661315</v>
      </c>
      <c r="K27" s="10">
        <v>49556967</v>
      </c>
      <c r="L27" s="10">
        <v>3430757</v>
      </c>
      <c r="M27" s="10">
        <v>13830762</v>
      </c>
      <c r="N27" s="10">
        <v>6833854</v>
      </c>
      <c r="O27" s="10">
        <v>26935083</v>
      </c>
      <c r="P27" s="10">
        <v>51757</v>
      </c>
      <c r="Q27" s="10">
        <v>721422</v>
      </c>
      <c r="R27" s="10">
        <v>328443</v>
      </c>
      <c r="S27" s="10">
        <v>702890</v>
      </c>
      <c r="T27" s="10"/>
      <c r="U27" s="10"/>
      <c r="V27" s="10">
        <v>3682189</v>
      </c>
      <c r="W27" s="10">
        <v>12739673</v>
      </c>
      <c r="X27" s="10">
        <v>4002670</v>
      </c>
      <c r="Y27" s="10">
        <v>14382586</v>
      </c>
      <c r="Z27" s="10">
        <f>3869515+2911804</f>
        <v>6781319</v>
      </c>
      <c r="AA27" s="10">
        <f>12502344+12508198</f>
        <v>25010542</v>
      </c>
      <c r="AB27" s="10">
        <v>15657917</v>
      </c>
      <c r="AC27" s="10">
        <v>60889284</v>
      </c>
      <c r="AD27" s="10">
        <v>7945875</v>
      </c>
      <c r="AE27" s="10">
        <v>28532545</v>
      </c>
      <c r="AF27" s="10">
        <v>675820</v>
      </c>
      <c r="AG27" s="10">
        <v>2352486</v>
      </c>
      <c r="AH27" s="10">
        <v>2619661</v>
      </c>
      <c r="AI27" s="10">
        <f>5625548+4257204</f>
        <v>9882752</v>
      </c>
      <c r="AJ27" s="10">
        <v>1856096</v>
      </c>
      <c r="AK27" s="10">
        <v>7384440</v>
      </c>
      <c r="AL27" s="10"/>
      <c r="AM27" s="10"/>
      <c r="AN27" s="10"/>
      <c r="AO27" s="10"/>
      <c r="AP27" s="10">
        <v>10507503.380984217</v>
      </c>
      <c r="AQ27" s="10">
        <v>43086393.607943758</v>
      </c>
      <c r="AR27" s="36">
        <v>26553438</v>
      </c>
      <c r="AS27" s="36">
        <v>99590317</v>
      </c>
      <c r="AT27" s="10">
        <v>10552102</v>
      </c>
      <c r="AU27" s="10">
        <v>40922664</v>
      </c>
      <c r="AV27" s="10">
        <f>388763+72140</f>
        <v>460903</v>
      </c>
      <c r="AW27" s="10">
        <f>75830+884053</f>
        <v>959883</v>
      </c>
      <c r="AX27" s="10">
        <v>4230766</v>
      </c>
      <c r="AY27" s="10">
        <v>20891613</v>
      </c>
      <c r="AZ27" s="10"/>
      <c r="BA27" s="10"/>
      <c r="BB27" s="10">
        <v>4491758</v>
      </c>
      <c r="BC27" s="10">
        <v>17361163</v>
      </c>
      <c r="BD27" s="10">
        <v>2785869</v>
      </c>
      <c r="BE27" s="10">
        <v>9749301</v>
      </c>
      <c r="BF27" s="36">
        <v>6137165</v>
      </c>
      <c r="BG27" s="36">
        <v>22527729</v>
      </c>
      <c r="BH27" s="10"/>
      <c r="BI27" s="10"/>
      <c r="BJ27" s="10">
        <v>8161509</v>
      </c>
      <c r="BK27" s="10">
        <v>32448542</v>
      </c>
      <c r="BL27" s="10">
        <v>15394533</v>
      </c>
      <c r="BM27" s="10">
        <v>62078314</v>
      </c>
      <c r="BN27" s="10">
        <f>1188384+1783965</f>
        <v>2972349</v>
      </c>
      <c r="BO27" s="10">
        <f>3729054+4541735</f>
        <v>8270789</v>
      </c>
      <c r="BP27" s="82">
        <f t="shared" si="4"/>
        <v>157972753.38098422</v>
      </c>
      <c r="BQ27" s="82">
        <f t="shared" si="5"/>
        <v>611574840.60794377</v>
      </c>
    </row>
    <row r="28" spans="1:69" x14ac:dyDescent="0.25">
      <c r="A28" s="10" t="s">
        <v>242</v>
      </c>
      <c r="B28" s="10">
        <v>199398</v>
      </c>
      <c r="C28" s="10">
        <v>744451</v>
      </c>
      <c r="D28" s="10"/>
      <c r="E28" s="10"/>
      <c r="F28" s="10"/>
      <c r="G28" s="10"/>
      <c r="H28" s="10"/>
      <c r="I28" s="10"/>
      <c r="J28" s="10">
        <v>12564485</v>
      </c>
      <c r="K28" s="10">
        <v>48885203</v>
      </c>
      <c r="L28" s="10">
        <v>3468822</v>
      </c>
      <c r="M28" s="10">
        <v>12507254</v>
      </c>
      <c r="N28" s="10">
        <v>6930731</v>
      </c>
      <c r="O28" s="10">
        <v>27668343</v>
      </c>
      <c r="P28" s="10">
        <v>104595</v>
      </c>
      <c r="Q28" s="10">
        <v>450521</v>
      </c>
      <c r="R28" s="10">
        <v>149284</v>
      </c>
      <c r="S28" s="10">
        <v>403709</v>
      </c>
      <c r="T28" s="10"/>
      <c r="U28" s="10"/>
      <c r="V28" s="10">
        <v>3171736</v>
      </c>
      <c r="W28" s="10">
        <v>11653589</v>
      </c>
      <c r="X28" s="10">
        <v>3430726</v>
      </c>
      <c r="Y28" s="10">
        <v>11495662</v>
      </c>
      <c r="Z28" s="10">
        <f>3011270+3176491</f>
        <v>6187761</v>
      </c>
      <c r="AA28" s="10">
        <f>11522565+12696411</f>
        <v>24218976</v>
      </c>
      <c r="AB28" s="10">
        <v>15316186</v>
      </c>
      <c r="AC28" s="10">
        <v>61198008</v>
      </c>
      <c r="AD28" s="10">
        <v>7103744</v>
      </c>
      <c r="AE28" s="10">
        <v>28471385</v>
      </c>
      <c r="AF28" s="10">
        <v>561840</v>
      </c>
      <c r="AG28" s="10">
        <v>2072673</v>
      </c>
      <c r="AH28" s="10">
        <v>2361012</v>
      </c>
      <c r="AI28" s="10">
        <f>4856105+3591392</f>
        <v>8447497</v>
      </c>
      <c r="AJ28" s="10">
        <v>1834275</v>
      </c>
      <c r="AK28" s="10">
        <v>6618236</v>
      </c>
      <c r="AL28" s="10"/>
      <c r="AM28" s="10"/>
      <c r="AN28" s="10"/>
      <c r="AO28" s="10"/>
      <c r="AP28" s="10">
        <v>11477208.346984217</v>
      </c>
      <c r="AQ28" s="10">
        <v>44684723.838943757</v>
      </c>
      <c r="AR28" s="36">
        <v>24731517</v>
      </c>
      <c r="AS28" s="36">
        <v>98303059</v>
      </c>
      <c r="AT28" s="10">
        <v>11197450</v>
      </c>
      <c r="AU28" s="10">
        <v>42583448</v>
      </c>
      <c r="AV28" s="10">
        <f>8328+204759</f>
        <v>213087</v>
      </c>
      <c r="AW28" s="10">
        <f>10233+737351</f>
        <v>747584</v>
      </c>
      <c r="AX28" s="10">
        <v>5245043</v>
      </c>
      <c r="AY28" s="10">
        <v>21631618</v>
      </c>
      <c r="AZ28" s="10"/>
      <c r="BA28" s="10"/>
      <c r="BB28" s="10">
        <v>4315358</v>
      </c>
      <c r="BC28" s="10">
        <v>16914086</v>
      </c>
      <c r="BD28" s="10">
        <v>2381090</v>
      </c>
      <c r="BE28" s="10">
        <v>8454345</v>
      </c>
      <c r="BF28" s="36">
        <v>5685878</v>
      </c>
      <c r="BG28" s="36">
        <v>22251126</v>
      </c>
      <c r="BH28" s="10"/>
      <c r="BI28" s="10"/>
      <c r="BJ28" s="10">
        <v>8103820</v>
      </c>
      <c r="BK28" s="10">
        <v>31998036</v>
      </c>
      <c r="BL28" s="10">
        <v>16597880</v>
      </c>
      <c r="BM28" s="10">
        <v>63016438</v>
      </c>
      <c r="BN28" s="10">
        <f>920349+1022030</f>
        <v>1942379</v>
      </c>
      <c r="BO28" s="10">
        <f>3456225+3866871</f>
        <v>7323096</v>
      </c>
      <c r="BP28" s="82">
        <f t="shared" si="4"/>
        <v>155275305.34698421</v>
      </c>
      <c r="BQ28" s="82">
        <f t="shared" si="5"/>
        <v>602743066.83894372</v>
      </c>
    </row>
    <row r="30" spans="1:69" x14ac:dyDescent="0.25">
      <c r="A30" s="29" t="s">
        <v>231</v>
      </c>
    </row>
    <row r="31" spans="1:69" x14ac:dyDescent="0.25">
      <c r="A31" s="1" t="s">
        <v>0</v>
      </c>
      <c r="B31" s="111" t="s">
        <v>1</v>
      </c>
      <c r="C31" s="112"/>
      <c r="D31" s="111" t="s">
        <v>2</v>
      </c>
      <c r="E31" s="112"/>
      <c r="F31" s="111" t="s">
        <v>3</v>
      </c>
      <c r="G31" s="112"/>
      <c r="H31" s="111" t="s">
        <v>295</v>
      </c>
      <c r="I31" s="112"/>
      <c r="J31" s="111" t="s">
        <v>5</v>
      </c>
      <c r="K31" s="112"/>
      <c r="L31" s="111" t="s">
        <v>6</v>
      </c>
      <c r="M31" s="112"/>
      <c r="N31" s="111" t="s">
        <v>7</v>
      </c>
      <c r="O31" s="112"/>
      <c r="P31" s="111" t="s">
        <v>309</v>
      </c>
      <c r="Q31" s="112"/>
      <c r="R31" s="111" t="s">
        <v>9</v>
      </c>
      <c r="S31" s="112"/>
      <c r="T31" s="111" t="s">
        <v>10</v>
      </c>
      <c r="U31" s="112"/>
      <c r="V31" s="111" t="s">
        <v>11</v>
      </c>
      <c r="W31" s="112"/>
      <c r="X31" s="111" t="s">
        <v>12</v>
      </c>
      <c r="Y31" s="112"/>
      <c r="Z31" s="111" t="s">
        <v>13</v>
      </c>
      <c r="AA31" s="112"/>
      <c r="AB31" s="111" t="s">
        <v>14</v>
      </c>
      <c r="AC31" s="112"/>
      <c r="AD31" s="111" t="s">
        <v>15</v>
      </c>
      <c r="AE31" s="112"/>
      <c r="AF31" s="111" t="s">
        <v>16</v>
      </c>
      <c r="AG31" s="112"/>
      <c r="AH31" s="111" t="s">
        <v>17</v>
      </c>
      <c r="AI31" s="112"/>
      <c r="AJ31" s="111" t="s">
        <v>18</v>
      </c>
      <c r="AK31" s="112"/>
      <c r="AL31" s="111" t="s">
        <v>293</v>
      </c>
      <c r="AM31" s="112"/>
      <c r="AN31" s="111" t="s">
        <v>19</v>
      </c>
      <c r="AO31" s="112"/>
      <c r="AP31" s="111" t="s">
        <v>20</v>
      </c>
      <c r="AQ31" s="112"/>
      <c r="AR31" s="111" t="s">
        <v>21</v>
      </c>
      <c r="AS31" s="112"/>
      <c r="AT31" s="111" t="s">
        <v>22</v>
      </c>
      <c r="AU31" s="112"/>
      <c r="AV31" s="111" t="s">
        <v>23</v>
      </c>
      <c r="AW31" s="112"/>
      <c r="AX31" s="111" t="s">
        <v>24</v>
      </c>
      <c r="AY31" s="112"/>
      <c r="AZ31" s="111" t="s">
        <v>25</v>
      </c>
      <c r="BA31" s="112"/>
      <c r="BB31" s="111" t="s">
        <v>26</v>
      </c>
      <c r="BC31" s="112"/>
      <c r="BD31" s="111" t="s">
        <v>27</v>
      </c>
      <c r="BE31" s="112"/>
      <c r="BF31" s="111" t="s">
        <v>28</v>
      </c>
      <c r="BG31" s="112"/>
      <c r="BH31" s="111" t="s">
        <v>29</v>
      </c>
      <c r="BI31" s="112"/>
      <c r="BJ31" s="111" t="s">
        <v>30</v>
      </c>
      <c r="BK31" s="112"/>
      <c r="BL31" s="115" t="s">
        <v>31</v>
      </c>
      <c r="BM31" s="116"/>
      <c r="BN31" s="111" t="s">
        <v>32</v>
      </c>
      <c r="BO31" s="112"/>
      <c r="BP31" s="113" t="s">
        <v>33</v>
      </c>
      <c r="BQ31" s="114"/>
    </row>
    <row r="32" spans="1:69" ht="30" x14ac:dyDescent="0.25">
      <c r="A32" s="1"/>
      <c r="B32" s="66" t="s">
        <v>298</v>
      </c>
      <c r="C32" s="67" t="s">
        <v>299</v>
      </c>
      <c r="D32" s="66" t="s">
        <v>298</v>
      </c>
      <c r="E32" s="67" t="s">
        <v>299</v>
      </c>
      <c r="F32" s="66" t="s">
        <v>298</v>
      </c>
      <c r="G32" s="67" t="s">
        <v>299</v>
      </c>
      <c r="H32" s="66" t="s">
        <v>298</v>
      </c>
      <c r="I32" s="67" t="s">
        <v>299</v>
      </c>
      <c r="J32" s="66" t="s">
        <v>298</v>
      </c>
      <c r="K32" s="67" t="s">
        <v>299</v>
      </c>
      <c r="L32" s="66" t="s">
        <v>298</v>
      </c>
      <c r="M32" s="67" t="s">
        <v>299</v>
      </c>
      <c r="N32" s="66" t="s">
        <v>298</v>
      </c>
      <c r="O32" s="67" t="s">
        <v>299</v>
      </c>
      <c r="P32" s="66" t="s">
        <v>298</v>
      </c>
      <c r="Q32" s="67" t="s">
        <v>299</v>
      </c>
      <c r="R32" s="66" t="s">
        <v>298</v>
      </c>
      <c r="S32" s="67" t="s">
        <v>299</v>
      </c>
      <c r="T32" s="66" t="s">
        <v>298</v>
      </c>
      <c r="U32" s="67" t="s">
        <v>299</v>
      </c>
      <c r="V32" s="66" t="s">
        <v>298</v>
      </c>
      <c r="W32" s="67" t="s">
        <v>299</v>
      </c>
      <c r="X32" s="66" t="s">
        <v>298</v>
      </c>
      <c r="Y32" s="67" t="s">
        <v>299</v>
      </c>
      <c r="Z32" s="66" t="s">
        <v>298</v>
      </c>
      <c r="AA32" s="67" t="s">
        <v>299</v>
      </c>
      <c r="AB32" s="66" t="s">
        <v>298</v>
      </c>
      <c r="AC32" s="67" t="s">
        <v>299</v>
      </c>
      <c r="AD32" s="66" t="s">
        <v>298</v>
      </c>
      <c r="AE32" s="67" t="s">
        <v>299</v>
      </c>
      <c r="AF32" s="66" t="s">
        <v>298</v>
      </c>
      <c r="AG32" s="67" t="s">
        <v>299</v>
      </c>
      <c r="AH32" s="66" t="s">
        <v>298</v>
      </c>
      <c r="AI32" s="67" t="s">
        <v>299</v>
      </c>
      <c r="AJ32" s="66" t="s">
        <v>298</v>
      </c>
      <c r="AK32" s="67" t="s">
        <v>299</v>
      </c>
      <c r="AL32" s="66" t="s">
        <v>298</v>
      </c>
      <c r="AM32" s="67" t="s">
        <v>299</v>
      </c>
      <c r="AN32" s="66" t="s">
        <v>298</v>
      </c>
      <c r="AO32" s="67" t="s">
        <v>299</v>
      </c>
      <c r="AP32" s="66" t="s">
        <v>298</v>
      </c>
      <c r="AQ32" s="67" t="s">
        <v>299</v>
      </c>
      <c r="AR32" s="66" t="s">
        <v>298</v>
      </c>
      <c r="AS32" s="67" t="s">
        <v>299</v>
      </c>
      <c r="AT32" s="66" t="s">
        <v>298</v>
      </c>
      <c r="AU32" s="67" t="s">
        <v>299</v>
      </c>
      <c r="AV32" s="66" t="s">
        <v>298</v>
      </c>
      <c r="AW32" s="67" t="s">
        <v>299</v>
      </c>
      <c r="AX32" s="66" t="s">
        <v>298</v>
      </c>
      <c r="AY32" s="67" t="s">
        <v>299</v>
      </c>
      <c r="AZ32" s="66" t="s">
        <v>298</v>
      </c>
      <c r="BA32" s="67" t="s">
        <v>299</v>
      </c>
      <c r="BB32" s="66" t="s">
        <v>298</v>
      </c>
      <c r="BC32" s="67" t="s">
        <v>299</v>
      </c>
      <c r="BD32" s="66" t="s">
        <v>298</v>
      </c>
      <c r="BE32" s="67" t="s">
        <v>299</v>
      </c>
      <c r="BF32" s="66" t="s">
        <v>298</v>
      </c>
      <c r="BG32" s="67" t="s">
        <v>299</v>
      </c>
      <c r="BH32" s="66" t="s">
        <v>298</v>
      </c>
      <c r="BI32" s="67" t="s">
        <v>299</v>
      </c>
      <c r="BJ32" s="66" t="s">
        <v>298</v>
      </c>
      <c r="BK32" s="67" t="s">
        <v>299</v>
      </c>
      <c r="BL32" s="66" t="s">
        <v>298</v>
      </c>
      <c r="BM32" s="67" t="s">
        <v>299</v>
      </c>
      <c r="BN32" s="66" t="s">
        <v>298</v>
      </c>
      <c r="BO32" s="67" t="s">
        <v>299</v>
      </c>
      <c r="BP32" s="66" t="s">
        <v>298</v>
      </c>
      <c r="BQ32" s="67" t="s">
        <v>299</v>
      </c>
    </row>
    <row r="33" spans="1:69" x14ac:dyDescent="0.25">
      <c r="A33" s="10" t="s">
        <v>283</v>
      </c>
      <c r="B33" s="10"/>
      <c r="C33" s="10"/>
      <c r="D33" s="10"/>
      <c r="E33" s="10"/>
      <c r="F33" s="10"/>
      <c r="G33" s="10"/>
      <c r="H33" s="10"/>
      <c r="I33" s="10"/>
      <c r="J33" s="10">
        <v>362614</v>
      </c>
      <c r="K33" s="10">
        <v>1526628</v>
      </c>
      <c r="L33" s="10">
        <v>89953</v>
      </c>
      <c r="M33" s="10">
        <v>345190</v>
      </c>
      <c r="N33" s="10">
        <v>78592</v>
      </c>
      <c r="O33" s="10">
        <v>297214</v>
      </c>
      <c r="P33" s="10"/>
      <c r="Q33" s="10"/>
      <c r="R33" s="10">
        <v>969</v>
      </c>
      <c r="S33" s="10">
        <v>969</v>
      </c>
      <c r="T33" s="10"/>
      <c r="U33" s="10"/>
      <c r="V33" s="10">
        <v>143838</v>
      </c>
      <c r="W33" s="10">
        <v>519288</v>
      </c>
      <c r="X33" s="10">
        <v>12090</v>
      </c>
      <c r="Y33" s="10">
        <v>39382</v>
      </c>
      <c r="Z33" s="10">
        <v>612647</v>
      </c>
      <c r="AA33" s="10">
        <v>1910877</v>
      </c>
      <c r="AB33" s="10">
        <v>722413</v>
      </c>
      <c r="AC33" s="10">
        <v>3136056</v>
      </c>
      <c r="AD33" s="10">
        <v>193778</v>
      </c>
      <c r="AE33" s="10">
        <v>847433</v>
      </c>
      <c r="AF33" s="10">
        <v>1347</v>
      </c>
      <c r="AG33" s="10">
        <v>14523</v>
      </c>
      <c r="AH33" s="10">
        <v>67559</v>
      </c>
      <c r="AI33" s="10">
        <v>266092</v>
      </c>
      <c r="AJ33" s="10">
        <v>25229</v>
      </c>
      <c r="AK33" s="10">
        <v>60166</v>
      </c>
      <c r="AL33" s="10"/>
      <c r="AM33" s="10"/>
      <c r="AN33" s="10"/>
      <c r="AO33" s="10"/>
      <c r="AP33" s="10">
        <v>724552.5310965518</v>
      </c>
      <c r="AQ33" s="10">
        <v>2566074.4742449997</v>
      </c>
      <c r="AR33" s="36">
        <v>1783299</v>
      </c>
      <c r="AS33" s="36">
        <v>6127822</v>
      </c>
      <c r="AT33" s="10">
        <v>599825</v>
      </c>
      <c r="AU33" s="10">
        <v>2353047</v>
      </c>
      <c r="AV33" s="10">
        <v>2155</v>
      </c>
      <c r="AW33" s="10">
        <v>8947</v>
      </c>
      <c r="AX33" s="10">
        <v>206252</v>
      </c>
      <c r="AY33" s="10">
        <v>1038391</v>
      </c>
      <c r="AZ33" s="10"/>
      <c r="BA33" s="10"/>
      <c r="BB33" s="10">
        <v>128697</v>
      </c>
      <c r="BC33" s="10">
        <v>788527</v>
      </c>
      <c r="BD33" s="10">
        <v>93696</v>
      </c>
      <c r="BE33" s="10">
        <v>371541</v>
      </c>
      <c r="BF33" s="36">
        <v>37368</v>
      </c>
      <c r="BG33" s="36">
        <v>176775</v>
      </c>
      <c r="BH33" s="10"/>
      <c r="BI33" s="10"/>
      <c r="BJ33" s="10">
        <v>116173</v>
      </c>
      <c r="BK33" s="10">
        <v>609541</v>
      </c>
      <c r="BL33" s="10">
        <v>1089648</v>
      </c>
      <c r="BM33" s="10">
        <v>3960153</v>
      </c>
      <c r="BN33" s="10">
        <v>30766</v>
      </c>
      <c r="BO33" s="10">
        <v>93905</v>
      </c>
      <c r="BP33" s="82">
        <f t="shared" ref="BP33:BP37" si="6">B33+D33+F33+H33+J33+L33+N33+P33+R33+T33+V33+X33+Z33+AB33+AD33+AF33+AH33+AJ33+AL33+AN33+AP33+AR33+AT33+AV33+AX33+AZ33+BB33+BD33+BF33+BH33+BJ33+BL33+BN33</f>
        <v>7123460.5310965516</v>
      </c>
      <c r="BQ33" s="82">
        <f t="shared" ref="BQ33:BQ37" si="7">C33+E33+G33+I33+K33+M33+O33+Q33+S33+U33+W33+Y33+AA33+AC33+AE33+AG33+AI33+AK33+AM33+AO33+AQ33+AS33+AU33+AW33+AY33+BA33+BC33+BE33+BG33+BI33+BK33+BM33+BO33</f>
        <v>27058541.474245001</v>
      </c>
    </row>
    <row r="34" spans="1:69" x14ac:dyDescent="0.25">
      <c r="A34" s="10" t="s">
        <v>286</v>
      </c>
      <c r="B34" s="10"/>
      <c r="C34" s="10"/>
      <c r="D34" s="10"/>
      <c r="E34" s="10"/>
      <c r="F34" s="10"/>
      <c r="G34" s="10"/>
      <c r="H34" s="10"/>
      <c r="I34" s="10"/>
      <c r="J34" s="10">
        <v>10666</v>
      </c>
      <c r="K34" s="10">
        <v>58409</v>
      </c>
      <c r="L34" s="10">
        <v>2016</v>
      </c>
      <c r="M34" s="10">
        <v>10897</v>
      </c>
      <c r="N34" s="10">
        <v>3362</v>
      </c>
      <c r="O34" s="10">
        <v>17199</v>
      </c>
      <c r="P34" s="10">
        <v>192</v>
      </c>
      <c r="Q34" s="10">
        <v>978</v>
      </c>
      <c r="R34" s="10">
        <v>957</v>
      </c>
      <c r="S34" s="10">
        <v>5359</v>
      </c>
      <c r="T34" s="10"/>
      <c r="U34" s="10"/>
      <c r="V34" s="10">
        <v>13566</v>
      </c>
      <c r="W34" s="10">
        <v>38480</v>
      </c>
      <c r="X34" s="10">
        <v>4130</v>
      </c>
      <c r="Y34" s="10">
        <v>22609</v>
      </c>
      <c r="Z34" s="10">
        <v>24281</v>
      </c>
      <c r="AA34" s="10">
        <v>87961</v>
      </c>
      <c r="AB34" s="10">
        <v>90473</v>
      </c>
      <c r="AC34" s="10">
        <v>376280</v>
      </c>
      <c r="AD34" s="10">
        <v>15908</v>
      </c>
      <c r="AE34" s="10">
        <v>48191</v>
      </c>
      <c r="AF34" s="10">
        <v>957</v>
      </c>
      <c r="AG34" s="10">
        <v>4889</v>
      </c>
      <c r="AH34" s="10">
        <v>2219</v>
      </c>
      <c r="AI34" s="10">
        <v>12383</v>
      </c>
      <c r="AJ34" s="10">
        <v>1875</v>
      </c>
      <c r="AK34" s="10">
        <v>14205</v>
      </c>
      <c r="AL34" s="10"/>
      <c r="AM34" s="10"/>
      <c r="AN34" s="10"/>
      <c r="AO34" s="10"/>
      <c r="AP34" s="10">
        <v>70537.016800393932</v>
      </c>
      <c r="AQ34" s="10">
        <v>325112.70880624995</v>
      </c>
      <c r="AR34" s="36">
        <v>149739</v>
      </c>
      <c r="AS34" s="36">
        <v>610829</v>
      </c>
      <c r="AT34" s="10">
        <v>46133</v>
      </c>
      <c r="AU34" s="10">
        <v>379059</v>
      </c>
      <c r="AV34" s="10">
        <v>96</v>
      </c>
      <c r="AW34" s="10">
        <v>489</v>
      </c>
      <c r="AX34" s="10">
        <v>3675</v>
      </c>
      <c r="AY34" s="10">
        <v>29725</v>
      </c>
      <c r="AZ34" s="10"/>
      <c r="BA34" s="10"/>
      <c r="BB34" s="10">
        <v>15410</v>
      </c>
      <c r="BC34" s="10">
        <v>47292</v>
      </c>
      <c r="BD34" s="10">
        <v>1493</v>
      </c>
      <c r="BE34" s="10">
        <v>7634</v>
      </c>
      <c r="BF34" s="36">
        <v>1530</v>
      </c>
      <c r="BG34" s="36">
        <v>8981</v>
      </c>
      <c r="BH34" s="10"/>
      <c r="BI34" s="10"/>
      <c r="BJ34" s="10">
        <v>7445</v>
      </c>
      <c r="BK34" s="10">
        <v>25564</v>
      </c>
      <c r="BL34" s="10">
        <v>41490</v>
      </c>
      <c r="BM34" s="10">
        <v>218637</v>
      </c>
      <c r="BN34">
        <v>956</v>
      </c>
      <c r="BO34" s="10">
        <v>4889</v>
      </c>
      <c r="BP34" s="82">
        <f t="shared" si="6"/>
        <v>509106.01680039393</v>
      </c>
      <c r="BQ34" s="82">
        <f t="shared" si="7"/>
        <v>2356051.7088062502</v>
      </c>
    </row>
    <row r="35" spans="1:69" x14ac:dyDescent="0.25">
      <c r="A35" s="10" t="s">
        <v>287</v>
      </c>
      <c r="B35" s="10"/>
      <c r="C35" s="10"/>
      <c r="D35" s="10"/>
      <c r="E35" s="10"/>
      <c r="F35" s="10"/>
      <c r="G35" s="10"/>
      <c r="H35" s="10"/>
      <c r="I35" s="10"/>
      <c r="J35" s="10">
        <v>307183</v>
      </c>
      <c r="K35" s="10">
        <v>1309488</v>
      </c>
      <c r="L35" s="10">
        <v>73932</v>
      </c>
      <c r="M35" s="10">
        <v>280406</v>
      </c>
      <c r="N35" s="10">
        <v>52098</v>
      </c>
      <c r="O35" s="10">
        <v>188660</v>
      </c>
      <c r="P35" s="10">
        <v>-17</v>
      </c>
      <c r="Q35" s="10">
        <v>-86</v>
      </c>
      <c r="R35" s="10">
        <v>285</v>
      </c>
      <c r="S35" s="10">
        <v>2026</v>
      </c>
      <c r="T35" s="10"/>
      <c r="U35" s="10"/>
      <c r="V35" s="10">
        <v>112220</v>
      </c>
      <c r="W35" s="10">
        <v>426255</v>
      </c>
      <c r="X35" s="10">
        <v>13644</v>
      </c>
      <c r="Y35" s="10">
        <v>51409</v>
      </c>
      <c r="Z35" s="10">
        <v>-386080</v>
      </c>
      <c r="AA35" s="10">
        <v>-1348224</v>
      </c>
      <c r="AB35" s="10">
        <v>539766</v>
      </c>
      <c r="AC35" s="10">
        <v>2349561</v>
      </c>
      <c r="AD35" s="10">
        <v>162636</v>
      </c>
      <c r="AE35" s="10">
        <v>712636</v>
      </c>
      <c r="AF35" s="10">
        <v>1210</v>
      </c>
      <c r="AG35" s="10">
        <v>13577</v>
      </c>
      <c r="AH35" s="10">
        <v>63668</v>
      </c>
      <c r="AI35" s="10">
        <v>208489</v>
      </c>
      <c r="AJ35" s="10">
        <v>-23957</v>
      </c>
      <c r="AK35" s="10">
        <v>-59041</v>
      </c>
      <c r="AL35" s="10"/>
      <c r="AM35" s="10"/>
      <c r="AN35" s="10"/>
      <c r="AO35" s="10"/>
      <c r="AP35" s="10">
        <v>188282.86629122391</v>
      </c>
      <c r="AQ35" s="10">
        <v>730555.64295000001</v>
      </c>
      <c r="AR35" s="36">
        <v>882757</v>
      </c>
      <c r="AS35" s="36">
        <v>3089837</v>
      </c>
      <c r="AT35" s="10">
        <v>291508</v>
      </c>
      <c r="AU35" s="10">
        <v>930164</v>
      </c>
      <c r="AV35" s="10">
        <v>1157</v>
      </c>
      <c r="AW35" s="10">
        <v>6834</v>
      </c>
      <c r="AX35" s="10">
        <v>136433</v>
      </c>
      <c r="AY35" s="10">
        <v>702387</v>
      </c>
      <c r="AZ35" s="10"/>
      <c r="BA35" s="10"/>
      <c r="BB35" s="10">
        <v>-119465</v>
      </c>
      <c r="BC35" s="10">
        <v>-705979</v>
      </c>
      <c r="BD35" s="10">
        <v>58792</v>
      </c>
      <c r="BE35" s="10">
        <v>246893</v>
      </c>
      <c r="BF35" s="36">
        <v>13541</v>
      </c>
      <c r="BG35" s="36">
        <v>79707</v>
      </c>
      <c r="BH35" s="10"/>
      <c r="BI35" s="10"/>
      <c r="BJ35" s="10">
        <v>121616</v>
      </c>
      <c r="BK35" s="10">
        <v>602195</v>
      </c>
      <c r="BL35" s="10">
        <v>705256</v>
      </c>
      <c r="BM35" s="10">
        <v>2644900</v>
      </c>
      <c r="BN35" s="10">
        <v>38020</v>
      </c>
      <c r="BO35" s="10">
        <v>93281</v>
      </c>
      <c r="BP35" s="82">
        <f t="shared" si="6"/>
        <v>3234485.866291224</v>
      </c>
      <c r="BQ35" s="82">
        <f t="shared" si="7"/>
        <v>12555930.64295</v>
      </c>
    </row>
    <row r="36" spans="1:69" x14ac:dyDescent="0.25">
      <c r="A36" s="10" t="s">
        <v>241</v>
      </c>
      <c r="B36" s="10"/>
      <c r="C36" s="10"/>
      <c r="D36" s="10"/>
      <c r="E36" s="10"/>
      <c r="F36" s="10"/>
      <c r="G36" s="10"/>
      <c r="H36" s="10"/>
      <c r="I36" s="10"/>
      <c r="J36" s="10">
        <v>66097</v>
      </c>
      <c r="K36" s="10">
        <v>275549</v>
      </c>
      <c r="L36" s="10">
        <v>18037</v>
      </c>
      <c r="M36" s="10">
        <v>75681</v>
      </c>
      <c r="N36" s="10">
        <v>29856</v>
      </c>
      <c r="O36" s="10">
        <v>125753</v>
      </c>
      <c r="P36" s="10">
        <v>175</v>
      </c>
      <c r="Q36" s="10">
        <v>892</v>
      </c>
      <c r="R36" s="10">
        <v>1641</v>
      </c>
      <c r="S36" s="10">
        <v>4302</v>
      </c>
      <c r="T36" s="10"/>
      <c r="U36" s="10"/>
      <c r="V36" s="10">
        <v>45184</v>
      </c>
      <c r="W36" s="10">
        <v>131513</v>
      </c>
      <c r="X36" s="10">
        <v>2576</v>
      </c>
      <c r="Y36" s="10">
        <v>10582</v>
      </c>
      <c r="Z36" s="10">
        <v>250848</v>
      </c>
      <c r="AA36" s="10">
        <v>650614</v>
      </c>
      <c r="AB36" s="10">
        <v>273120</v>
      </c>
      <c r="AC36" s="10">
        <v>1162775</v>
      </c>
      <c r="AD36" s="10">
        <v>47050</v>
      </c>
      <c r="AE36" s="10">
        <v>182988</v>
      </c>
      <c r="AF36" s="10">
        <v>1094</v>
      </c>
      <c r="AG36" s="10">
        <v>5835</v>
      </c>
      <c r="AH36" s="10">
        <v>6109</v>
      </c>
      <c r="AI36" s="10">
        <v>69986</v>
      </c>
      <c r="AJ36" s="10">
        <v>3147</v>
      </c>
      <c r="AK36" s="10">
        <v>15330</v>
      </c>
      <c r="AL36" s="10"/>
      <c r="AM36" s="10"/>
      <c r="AN36" s="10"/>
      <c r="AO36" s="10"/>
      <c r="AP36" s="10">
        <v>606806.68160572182</v>
      </c>
      <c r="AQ36" s="10">
        <v>2160631.5401012497</v>
      </c>
      <c r="AR36" s="36">
        <v>1050281</v>
      </c>
      <c r="AS36" s="36">
        <v>3648814</v>
      </c>
      <c r="AT36" s="10">
        <v>354450</v>
      </c>
      <c r="AU36" s="10">
        <v>1801942</v>
      </c>
      <c r="AV36" s="10">
        <v>1094</v>
      </c>
      <c r="AW36" s="10">
        <v>2602</v>
      </c>
      <c r="AX36" s="10">
        <v>73494</v>
      </c>
      <c r="AY36" s="10">
        <v>365729</v>
      </c>
      <c r="AZ36" s="10"/>
      <c r="BA36" s="10"/>
      <c r="BB36" s="10">
        <v>24642</v>
      </c>
      <c r="BC36" s="10">
        <v>129840</v>
      </c>
      <c r="BD36" s="10">
        <v>36397</v>
      </c>
      <c r="BE36" s="10">
        <v>132282</v>
      </c>
      <c r="BF36" s="36">
        <v>25356</v>
      </c>
      <c r="BG36" s="36">
        <v>106049</v>
      </c>
      <c r="BH36" s="10"/>
      <c r="BI36" s="10"/>
      <c r="BJ36" s="10">
        <v>2002</v>
      </c>
      <c r="BK36" s="10">
        <v>32910</v>
      </c>
      <c r="BL36" s="10">
        <v>425882</v>
      </c>
      <c r="BM36" s="10">
        <v>1533890</v>
      </c>
      <c r="BN36" s="10">
        <v>-6298</v>
      </c>
      <c r="BO36" s="10">
        <v>5513</v>
      </c>
      <c r="BP36" s="82">
        <f t="shared" si="6"/>
        <v>3339040.6816057218</v>
      </c>
      <c r="BQ36" s="82">
        <f t="shared" si="7"/>
        <v>12632002.540101249</v>
      </c>
    </row>
    <row r="37" spans="1:69" x14ac:dyDescent="0.25">
      <c r="A37" s="10" t="s">
        <v>242</v>
      </c>
      <c r="B37" s="10"/>
      <c r="C37" s="10"/>
      <c r="D37" s="10"/>
      <c r="E37" s="10"/>
      <c r="F37" s="10"/>
      <c r="G37" s="10"/>
      <c r="H37" s="10"/>
      <c r="I37" s="10"/>
      <c r="J37" s="10">
        <v>69494</v>
      </c>
      <c r="K37" s="10">
        <v>292527</v>
      </c>
      <c r="L37" s="10">
        <v>19507</v>
      </c>
      <c r="M37" s="10">
        <v>76917</v>
      </c>
      <c r="N37" s="10">
        <v>32529</v>
      </c>
      <c r="O37" s="10">
        <v>120767</v>
      </c>
      <c r="P37" s="10">
        <v>177</v>
      </c>
      <c r="Q37" s="10">
        <v>1188</v>
      </c>
      <c r="R37" s="10">
        <v>1275</v>
      </c>
      <c r="S37" s="10">
        <v>3505</v>
      </c>
      <c r="T37" s="10"/>
      <c r="U37" s="10"/>
      <c r="V37" s="10">
        <v>46359</v>
      </c>
      <c r="W37" s="10">
        <v>118219</v>
      </c>
      <c r="X37" s="10">
        <v>3205</v>
      </c>
      <c r="Y37" s="10">
        <v>8884</v>
      </c>
      <c r="Z37" s="10">
        <v>185039</v>
      </c>
      <c r="AA37" s="10">
        <v>510171</v>
      </c>
      <c r="AB37" s="10">
        <v>279941</v>
      </c>
      <c r="AC37" s="10">
        <v>1014038</v>
      </c>
      <c r="AD37" s="10">
        <v>41296</v>
      </c>
      <c r="AE37" s="10">
        <v>197252</v>
      </c>
      <c r="AF37" s="10">
        <v>1531</v>
      </c>
      <c r="AG37" s="10">
        <v>5733</v>
      </c>
      <c r="AH37" s="10">
        <v>4460</v>
      </c>
      <c r="AI37" s="10">
        <v>73882</v>
      </c>
      <c r="AJ37" s="10">
        <v>3893</v>
      </c>
      <c r="AK37" s="10">
        <v>16610</v>
      </c>
      <c r="AL37" s="10"/>
      <c r="AM37" s="10"/>
      <c r="AN37" s="10"/>
      <c r="AO37" s="10"/>
      <c r="AP37" s="10">
        <v>589303.79060572176</v>
      </c>
      <c r="AQ37" s="10">
        <v>2011083.3711012497</v>
      </c>
      <c r="AR37" s="36">
        <v>907929</v>
      </c>
      <c r="AS37" s="36">
        <v>3313894</v>
      </c>
      <c r="AT37" s="10">
        <v>388527</v>
      </c>
      <c r="AU37" s="10">
        <v>1857019</v>
      </c>
      <c r="AV37" s="10">
        <v>706</v>
      </c>
      <c r="AW37" s="10">
        <v>2324</v>
      </c>
      <c r="AX37" s="10">
        <v>88401</v>
      </c>
      <c r="AY37" s="10">
        <v>342649</v>
      </c>
      <c r="AZ37" s="10"/>
      <c r="BA37" s="10"/>
      <c r="BB37" s="10">
        <v>29212</v>
      </c>
      <c r="BC37" s="10">
        <v>130357</v>
      </c>
      <c r="BD37" s="10">
        <v>37951</v>
      </c>
      <c r="BE37" s="10">
        <v>119302</v>
      </c>
      <c r="BF37" s="36">
        <v>25525</v>
      </c>
      <c r="BG37" s="36">
        <v>98566</v>
      </c>
      <c r="BH37" s="10"/>
      <c r="BI37" s="10"/>
      <c r="BJ37" s="10">
        <v>3489</v>
      </c>
      <c r="BK37" s="10">
        <v>39133</v>
      </c>
      <c r="BL37" s="10">
        <v>637849</v>
      </c>
      <c r="BM37" s="10">
        <v>1869416</v>
      </c>
      <c r="BN37" s="10">
        <v>4185</v>
      </c>
      <c r="BO37" s="10">
        <v>24990</v>
      </c>
      <c r="BP37" s="82">
        <f t="shared" si="6"/>
        <v>3401783.790605722</v>
      </c>
      <c r="BQ37" s="82">
        <f t="shared" si="7"/>
        <v>12248426.371101249</v>
      </c>
    </row>
    <row r="39" spans="1:69" x14ac:dyDescent="0.25">
      <c r="A39" s="29" t="s">
        <v>232</v>
      </c>
    </row>
    <row r="40" spans="1:69" x14ac:dyDescent="0.25">
      <c r="A40" s="1" t="s">
        <v>0</v>
      </c>
      <c r="B40" s="111" t="s">
        <v>1</v>
      </c>
      <c r="C40" s="112"/>
      <c r="D40" s="111" t="s">
        <v>2</v>
      </c>
      <c r="E40" s="112"/>
      <c r="F40" s="111" t="s">
        <v>3</v>
      </c>
      <c r="G40" s="112"/>
      <c r="H40" s="111" t="s">
        <v>295</v>
      </c>
      <c r="I40" s="112"/>
      <c r="J40" s="111" t="s">
        <v>5</v>
      </c>
      <c r="K40" s="112"/>
      <c r="L40" s="111" t="s">
        <v>6</v>
      </c>
      <c r="M40" s="112"/>
      <c r="N40" s="111" t="s">
        <v>7</v>
      </c>
      <c r="O40" s="112"/>
      <c r="P40" s="111" t="s">
        <v>309</v>
      </c>
      <c r="Q40" s="112"/>
      <c r="R40" s="111" t="s">
        <v>9</v>
      </c>
      <c r="S40" s="112"/>
      <c r="T40" s="111" t="s">
        <v>10</v>
      </c>
      <c r="U40" s="112"/>
      <c r="V40" s="111" t="s">
        <v>11</v>
      </c>
      <c r="W40" s="112"/>
      <c r="X40" s="111" t="s">
        <v>12</v>
      </c>
      <c r="Y40" s="112"/>
      <c r="Z40" s="111" t="s">
        <v>13</v>
      </c>
      <c r="AA40" s="112"/>
      <c r="AB40" s="111" t="s">
        <v>14</v>
      </c>
      <c r="AC40" s="112"/>
      <c r="AD40" s="111" t="s">
        <v>15</v>
      </c>
      <c r="AE40" s="112"/>
      <c r="AF40" s="111" t="s">
        <v>16</v>
      </c>
      <c r="AG40" s="112"/>
      <c r="AH40" s="111" t="s">
        <v>17</v>
      </c>
      <c r="AI40" s="112"/>
      <c r="AJ40" s="111" t="s">
        <v>18</v>
      </c>
      <c r="AK40" s="112"/>
      <c r="AL40" s="111" t="s">
        <v>293</v>
      </c>
      <c r="AM40" s="112"/>
      <c r="AN40" s="111" t="s">
        <v>19</v>
      </c>
      <c r="AO40" s="112"/>
      <c r="AP40" s="111" t="s">
        <v>20</v>
      </c>
      <c r="AQ40" s="112"/>
      <c r="AR40" s="111" t="s">
        <v>21</v>
      </c>
      <c r="AS40" s="112"/>
      <c r="AT40" s="111" t="s">
        <v>22</v>
      </c>
      <c r="AU40" s="112"/>
      <c r="AV40" s="111" t="s">
        <v>23</v>
      </c>
      <c r="AW40" s="112"/>
      <c r="AX40" s="111" t="s">
        <v>24</v>
      </c>
      <c r="AY40" s="112"/>
      <c r="AZ40" s="111" t="s">
        <v>25</v>
      </c>
      <c r="BA40" s="112"/>
      <c r="BB40" s="111" t="s">
        <v>26</v>
      </c>
      <c r="BC40" s="112"/>
      <c r="BD40" s="111" t="s">
        <v>27</v>
      </c>
      <c r="BE40" s="112"/>
      <c r="BF40" s="111" t="s">
        <v>28</v>
      </c>
      <c r="BG40" s="112"/>
      <c r="BH40" s="111" t="s">
        <v>29</v>
      </c>
      <c r="BI40" s="112"/>
      <c r="BJ40" s="111" t="s">
        <v>30</v>
      </c>
      <c r="BK40" s="112"/>
      <c r="BL40" s="115" t="s">
        <v>31</v>
      </c>
      <c r="BM40" s="116"/>
      <c r="BN40" s="111" t="s">
        <v>32</v>
      </c>
      <c r="BO40" s="112"/>
      <c r="BP40" s="113" t="s">
        <v>33</v>
      </c>
      <c r="BQ40" s="114"/>
    </row>
    <row r="41" spans="1:69" ht="30" x14ac:dyDescent="0.25">
      <c r="A41" s="1"/>
      <c r="B41" s="66" t="s">
        <v>298</v>
      </c>
      <c r="C41" s="67" t="s">
        <v>299</v>
      </c>
      <c r="D41" s="66" t="s">
        <v>298</v>
      </c>
      <c r="E41" s="67" t="s">
        <v>299</v>
      </c>
      <c r="F41" s="66" t="s">
        <v>298</v>
      </c>
      <c r="G41" s="67" t="s">
        <v>299</v>
      </c>
      <c r="H41" s="66" t="s">
        <v>298</v>
      </c>
      <c r="I41" s="67" t="s">
        <v>299</v>
      </c>
      <c r="J41" s="66" t="s">
        <v>298</v>
      </c>
      <c r="K41" s="67" t="s">
        <v>299</v>
      </c>
      <c r="L41" s="66" t="s">
        <v>298</v>
      </c>
      <c r="M41" s="67" t="s">
        <v>299</v>
      </c>
      <c r="N41" s="66" t="s">
        <v>298</v>
      </c>
      <c r="O41" s="67" t="s">
        <v>299</v>
      </c>
      <c r="P41" s="66" t="s">
        <v>298</v>
      </c>
      <c r="Q41" s="67" t="s">
        <v>299</v>
      </c>
      <c r="R41" s="66" t="s">
        <v>298</v>
      </c>
      <c r="S41" s="67" t="s">
        <v>299</v>
      </c>
      <c r="T41" s="66" t="s">
        <v>298</v>
      </c>
      <c r="U41" s="67" t="s">
        <v>299</v>
      </c>
      <c r="V41" s="66" t="s">
        <v>298</v>
      </c>
      <c r="W41" s="67" t="s">
        <v>299</v>
      </c>
      <c r="X41" s="66" t="s">
        <v>298</v>
      </c>
      <c r="Y41" s="67" t="s">
        <v>299</v>
      </c>
      <c r="Z41" s="66" t="s">
        <v>298</v>
      </c>
      <c r="AA41" s="67" t="s">
        <v>299</v>
      </c>
      <c r="AB41" s="66" t="s">
        <v>298</v>
      </c>
      <c r="AC41" s="67" t="s">
        <v>299</v>
      </c>
      <c r="AD41" s="66" t="s">
        <v>298</v>
      </c>
      <c r="AE41" s="67" t="s">
        <v>299</v>
      </c>
      <c r="AF41" s="66" t="s">
        <v>298</v>
      </c>
      <c r="AG41" s="67" t="s">
        <v>299</v>
      </c>
      <c r="AH41" s="66" t="s">
        <v>298</v>
      </c>
      <c r="AI41" s="67" t="s">
        <v>299</v>
      </c>
      <c r="AJ41" s="66" t="s">
        <v>298</v>
      </c>
      <c r="AK41" s="67" t="s">
        <v>299</v>
      </c>
      <c r="AL41" s="66" t="s">
        <v>298</v>
      </c>
      <c r="AM41" s="67" t="s">
        <v>299</v>
      </c>
      <c r="AN41" s="66" t="s">
        <v>298</v>
      </c>
      <c r="AO41" s="67" t="s">
        <v>299</v>
      </c>
      <c r="AP41" s="66" t="s">
        <v>298</v>
      </c>
      <c r="AQ41" s="67" t="s">
        <v>299</v>
      </c>
      <c r="AR41" s="66" t="s">
        <v>298</v>
      </c>
      <c r="AS41" s="67" t="s">
        <v>299</v>
      </c>
      <c r="AT41" s="66" t="s">
        <v>298</v>
      </c>
      <c r="AU41" s="67" t="s">
        <v>299</v>
      </c>
      <c r="AV41" s="66" t="s">
        <v>298</v>
      </c>
      <c r="AW41" s="67" t="s">
        <v>299</v>
      </c>
      <c r="AX41" s="66" t="s">
        <v>298</v>
      </c>
      <c r="AY41" s="67" t="s">
        <v>299</v>
      </c>
      <c r="AZ41" s="66" t="s">
        <v>298</v>
      </c>
      <c r="BA41" s="67" t="s">
        <v>299</v>
      </c>
      <c r="BB41" s="66" t="s">
        <v>298</v>
      </c>
      <c r="BC41" s="67" t="s">
        <v>299</v>
      </c>
      <c r="BD41" s="66" t="s">
        <v>298</v>
      </c>
      <c r="BE41" s="67" t="s">
        <v>299</v>
      </c>
      <c r="BF41" s="66" t="s">
        <v>298</v>
      </c>
      <c r="BG41" s="67" t="s">
        <v>299</v>
      </c>
      <c r="BH41" s="66" t="s">
        <v>298</v>
      </c>
      <c r="BI41" s="67" t="s">
        <v>299</v>
      </c>
      <c r="BJ41" s="66" t="s">
        <v>298</v>
      </c>
      <c r="BK41" s="67" t="s">
        <v>299</v>
      </c>
      <c r="BL41" s="66" t="s">
        <v>298</v>
      </c>
      <c r="BM41" s="67" t="s">
        <v>299</v>
      </c>
      <c r="BN41" s="66" t="s">
        <v>298</v>
      </c>
      <c r="BO41" s="67" t="s">
        <v>299</v>
      </c>
      <c r="BP41" s="66" t="s">
        <v>298</v>
      </c>
      <c r="BQ41" s="67" t="s">
        <v>299</v>
      </c>
    </row>
    <row r="42" spans="1:69" x14ac:dyDescent="0.25">
      <c r="A42" s="10" t="s">
        <v>283</v>
      </c>
      <c r="B42" s="10">
        <v>317226</v>
      </c>
      <c r="C42" s="10">
        <v>958464</v>
      </c>
      <c r="D42" s="10">
        <v>2886362</v>
      </c>
      <c r="E42" s="10">
        <v>7553812</v>
      </c>
      <c r="F42" s="10"/>
      <c r="G42" s="10"/>
      <c r="H42" s="10">
        <v>8728093</v>
      </c>
      <c r="I42" s="10">
        <v>23589161</v>
      </c>
      <c r="J42" s="10">
        <v>4421990</v>
      </c>
      <c r="K42" s="10">
        <v>22014030</v>
      </c>
      <c r="L42" s="10">
        <v>766581</v>
      </c>
      <c r="M42" s="10">
        <v>3647854</v>
      </c>
      <c r="N42" s="10">
        <v>757706</v>
      </c>
      <c r="O42" s="10">
        <v>3169867</v>
      </c>
      <c r="P42" s="10">
        <v>74530</v>
      </c>
      <c r="Q42" s="10">
        <v>333525</v>
      </c>
      <c r="R42" s="10">
        <v>152084</v>
      </c>
      <c r="S42" s="10">
        <v>625612</v>
      </c>
      <c r="T42" s="10"/>
      <c r="U42" s="10"/>
      <c r="V42" s="10">
        <v>1512817</v>
      </c>
      <c r="W42" s="10">
        <v>3953839</v>
      </c>
      <c r="X42" s="10">
        <v>130494</v>
      </c>
      <c r="Y42" s="10">
        <v>354632</v>
      </c>
      <c r="Z42" s="10">
        <v>3605993</v>
      </c>
      <c r="AA42" s="10">
        <v>12930326</v>
      </c>
      <c r="AB42" s="10">
        <v>7142560</v>
      </c>
      <c r="AC42" s="10">
        <v>28302877</v>
      </c>
      <c r="AD42" s="10">
        <v>3359593</v>
      </c>
      <c r="AE42" s="10">
        <v>13195089</v>
      </c>
      <c r="AF42" s="10">
        <v>319016</v>
      </c>
      <c r="AG42" s="10">
        <v>1056809</v>
      </c>
      <c r="AH42" s="10">
        <v>730671</v>
      </c>
      <c r="AI42" s="10">
        <v>2531697</v>
      </c>
      <c r="AJ42" s="10">
        <v>145240</v>
      </c>
      <c r="AK42" s="10">
        <v>476301</v>
      </c>
      <c r="AL42" s="10">
        <v>1582816</v>
      </c>
      <c r="AM42" s="10">
        <v>5681466</v>
      </c>
      <c r="AN42" s="10">
        <v>3889648</v>
      </c>
      <c r="AO42" s="10">
        <v>11790427</v>
      </c>
      <c r="AP42" s="10">
        <v>14791103.046876095</v>
      </c>
      <c r="AQ42" s="10">
        <v>52844090.56564375</v>
      </c>
      <c r="AR42" s="36">
        <v>22093056</v>
      </c>
      <c r="AS42" s="36">
        <v>95368749</v>
      </c>
      <c r="AT42" s="10">
        <v>14843967</v>
      </c>
      <c r="AU42" s="10">
        <v>47141997</v>
      </c>
      <c r="AV42" s="10">
        <v>2575</v>
      </c>
      <c r="AW42" s="10">
        <v>6164</v>
      </c>
      <c r="AX42" s="10">
        <v>2480955</v>
      </c>
      <c r="AY42" s="10">
        <v>14794234</v>
      </c>
      <c r="AZ42" s="10">
        <v>5888533</v>
      </c>
      <c r="BA42" s="10">
        <v>22317383</v>
      </c>
      <c r="BB42" s="10">
        <v>1036131</v>
      </c>
      <c r="BC42" s="10">
        <v>3980521</v>
      </c>
      <c r="BD42" s="10">
        <v>2536928</v>
      </c>
      <c r="BE42" s="10">
        <v>7436706</v>
      </c>
      <c r="BF42" s="36">
        <v>4484</v>
      </c>
      <c r="BG42" s="36">
        <v>17382</v>
      </c>
      <c r="BH42" s="10"/>
      <c r="BI42" s="10"/>
      <c r="BJ42" s="10">
        <v>2621859</v>
      </c>
      <c r="BK42" s="10">
        <v>10256789</v>
      </c>
      <c r="BL42" s="10">
        <v>17921023</v>
      </c>
      <c r="BM42" s="10">
        <v>53369220</v>
      </c>
      <c r="BN42" s="10">
        <v>390768</v>
      </c>
      <c r="BO42" s="10">
        <v>1608016</v>
      </c>
      <c r="BP42" s="82">
        <f t="shared" ref="BP42:BP46" si="8">B42+D42+F42+H42+J42+L42+N42+P42+R42+T42+V42+X42+Z42+AB42+AD42+AF42+AH42+AJ42+AL42+AN42+AP42+AR42+AT42+AV42+AX42+AZ42+BB42+BD42+BF42+BH42+BJ42+BL42+BN42</f>
        <v>125134802.0468761</v>
      </c>
      <c r="BQ42" s="82">
        <f t="shared" ref="BQ42:BQ46" si="9">C42+E42+G42+I42+K42+M42+O42+Q42+S42+U42+W42+Y42+AA42+AC42+AE42+AG42+AI42+AK42+AM42+AO42+AQ42+AS42+AU42+AW42+AY42+BA42+BC42+BE42+BG42+BI42+BK42+BM42+BO42</f>
        <v>451307039.56564379</v>
      </c>
    </row>
    <row r="43" spans="1:69" x14ac:dyDescent="0.25">
      <c r="A43" s="10" t="s">
        <v>286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v>22018</v>
      </c>
      <c r="S43" s="10">
        <v>49418</v>
      </c>
      <c r="T43" s="10"/>
      <c r="U43" s="10"/>
      <c r="V43" s="10">
        <v>-101</v>
      </c>
      <c r="W43" s="10">
        <v>-101</v>
      </c>
      <c r="X43" s="10"/>
      <c r="Y43" s="10"/>
      <c r="Z43" s="10"/>
      <c r="AA43" s="10"/>
      <c r="AB43" s="10">
        <v>147321</v>
      </c>
      <c r="AC43" s="10">
        <v>1068130</v>
      </c>
      <c r="AD43" s="10"/>
      <c r="AE43" s="10">
        <v>8860</v>
      </c>
      <c r="AF43" s="10"/>
      <c r="AG43" s="10"/>
      <c r="AH43" s="10"/>
      <c r="AI43" s="10"/>
      <c r="AJ43" s="10">
        <v>51</v>
      </c>
      <c r="AK43" s="10">
        <v>51</v>
      </c>
      <c r="AL43" s="10"/>
      <c r="AM43" s="10"/>
      <c r="AN43" s="10"/>
      <c r="AO43" s="10"/>
      <c r="AP43" s="10">
        <v>0</v>
      </c>
      <c r="AQ43" s="10">
        <v>0</v>
      </c>
      <c r="AR43" s="36">
        <v>81464</v>
      </c>
      <c r="AS43" s="36">
        <v>201138</v>
      </c>
      <c r="AT43" s="10">
        <v>-13500</v>
      </c>
      <c r="AU43" s="10">
        <v>40417</v>
      </c>
      <c r="AV43" s="10"/>
      <c r="AW43" s="10"/>
      <c r="AX43" s="10"/>
      <c r="AY43" s="10"/>
      <c r="AZ43" s="10">
        <v>105474</v>
      </c>
      <c r="BA43" s="10">
        <v>200168</v>
      </c>
      <c r="BB43" s="10"/>
      <c r="BC43" s="10"/>
      <c r="BD43" s="10"/>
      <c r="BE43" s="10">
        <v>347267</v>
      </c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82">
        <f t="shared" si="8"/>
        <v>342727</v>
      </c>
      <c r="BQ43" s="82">
        <f t="shared" si="9"/>
        <v>1915348</v>
      </c>
    </row>
    <row r="44" spans="1:69" x14ac:dyDescent="0.25">
      <c r="A44" s="10" t="s">
        <v>287</v>
      </c>
      <c r="B44" s="10">
        <v>15871</v>
      </c>
      <c r="C44" s="10">
        <v>47931</v>
      </c>
      <c r="D44" s="10">
        <v>642496</v>
      </c>
      <c r="E44" s="10">
        <v>1691053</v>
      </c>
      <c r="F44" s="10"/>
      <c r="G44" s="10"/>
      <c r="H44" s="10">
        <v>1922516</v>
      </c>
      <c r="I44" s="10">
        <v>5456897</v>
      </c>
      <c r="J44" s="10">
        <v>531952</v>
      </c>
      <c r="K44" s="10">
        <v>5331369</v>
      </c>
      <c r="L44" s="10">
        <v>202518</v>
      </c>
      <c r="M44" s="10">
        <v>692463</v>
      </c>
      <c r="N44" s="10">
        <v>150528</v>
      </c>
      <c r="O44" s="10">
        <v>685524</v>
      </c>
      <c r="P44" s="10">
        <v>-20185</v>
      </c>
      <c r="Q44" s="10">
        <v>-79685</v>
      </c>
      <c r="R44" s="10">
        <v>20299</v>
      </c>
      <c r="S44" s="10">
        <v>112118</v>
      </c>
      <c r="T44" s="10"/>
      <c r="U44" s="10"/>
      <c r="V44" s="10">
        <v>396860</v>
      </c>
      <c r="W44" s="10">
        <v>1080646</v>
      </c>
      <c r="X44" s="10">
        <v>6527</v>
      </c>
      <c r="Y44" s="10">
        <v>17734</v>
      </c>
      <c r="Z44" s="10">
        <v>-1458646</v>
      </c>
      <c r="AA44" s="10">
        <v>-5620771</v>
      </c>
      <c r="AB44" s="10">
        <v>1888337</v>
      </c>
      <c r="AC44" s="10">
        <v>9117413</v>
      </c>
      <c r="AD44" s="10">
        <v>993508</v>
      </c>
      <c r="AE44" s="10">
        <v>2536590</v>
      </c>
      <c r="AF44" s="10">
        <v>17816</v>
      </c>
      <c r="AG44" s="10">
        <v>74545</v>
      </c>
      <c r="AH44" s="10">
        <v>43950</v>
      </c>
      <c r="AI44" s="10">
        <v>165354</v>
      </c>
      <c r="AJ44" s="10">
        <v>-48562</v>
      </c>
      <c r="AK44" s="10">
        <v>-178480</v>
      </c>
      <c r="AL44" s="10">
        <v>80421</v>
      </c>
      <c r="AM44" s="10">
        <v>288693</v>
      </c>
      <c r="AN44" s="10">
        <v>916332</v>
      </c>
      <c r="AO44" s="10">
        <v>2786434</v>
      </c>
      <c r="AP44" s="10">
        <v>6663718.1931124143</v>
      </c>
      <c r="AQ44" s="10">
        <v>22937431.130762503</v>
      </c>
      <c r="AR44" s="36">
        <v>1216678</v>
      </c>
      <c r="AS44" s="36">
        <v>8458066</v>
      </c>
      <c r="AT44" s="10">
        <v>404262</v>
      </c>
      <c r="AU44" s="10">
        <v>1997245</v>
      </c>
      <c r="AV44" s="10">
        <v>129</v>
      </c>
      <c r="AW44" s="10">
        <v>308</v>
      </c>
      <c r="AX44" s="10">
        <v>536295</v>
      </c>
      <c r="AY44" s="10">
        <v>3198987</v>
      </c>
      <c r="AZ44" s="10">
        <v>1620079</v>
      </c>
      <c r="BA44" s="10">
        <v>7733425</v>
      </c>
      <c r="BB44" s="10">
        <v>-204483</v>
      </c>
      <c r="BC44" s="10">
        <v>-778553</v>
      </c>
      <c r="BD44" s="10">
        <v>126846</v>
      </c>
      <c r="BE44" s="10">
        <v>371835</v>
      </c>
      <c r="BF44" s="36">
        <v>1287</v>
      </c>
      <c r="BG44" s="36">
        <v>4915</v>
      </c>
      <c r="BH44" s="10"/>
      <c r="BI44" s="10"/>
      <c r="BJ44" s="10">
        <v>718309</v>
      </c>
      <c r="BK44" s="10">
        <v>2719951</v>
      </c>
      <c r="BL44" s="10">
        <v>912392</v>
      </c>
      <c r="BM44" s="10">
        <v>3194517</v>
      </c>
      <c r="BN44" s="10">
        <v>22863</v>
      </c>
      <c r="BO44" s="10">
        <v>95625</v>
      </c>
      <c r="BP44" s="82">
        <f t="shared" si="8"/>
        <v>18320913.193112414</v>
      </c>
      <c r="BQ44" s="82">
        <f t="shared" si="9"/>
        <v>74139580.130762503</v>
      </c>
    </row>
    <row r="45" spans="1:69" x14ac:dyDescent="0.25">
      <c r="A45" s="10" t="s">
        <v>241</v>
      </c>
      <c r="B45" s="10">
        <v>301355</v>
      </c>
      <c r="C45" s="10">
        <v>910533</v>
      </c>
      <c r="D45" s="10">
        <v>2243866</v>
      </c>
      <c r="E45" s="10">
        <v>5862760</v>
      </c>
      <c r="F45" s="10"/>
      <c r="G45" s="10"/>
      <c r="H45" s="10">
        <v>6805577</v>
      </c>
      <c r="I45" s="10">
        <v>18132264</v>
      </c>
      <c r="J45" s="10">
        <v>3890038</v>
      </c>
      <c r="K45" s="10">
        <v>16682661</v>
      </c>
      <c r="L45" s="10">
        <v>564063</v>
      </c>
      <c r="M45" s="10">
        <v>2955391</v>
      </c>
      <c r="N45" s="10">
        <v>607178</v>
      </c>
      <c r="O45" s="10">
        <v>2484343</v>
      </c>
      <c r="P45" s="10">
        <v>54345</v>
      </c>
      <c r="Q45" s="10">
        <v>253840</v>
      </c>
      <c r="R45" s="10">
        <v>153803</v>
      </c>
      <c r="S45" s="10">
        <v>562912</v>
      </c>
      <c r="T45" s="10"/>
      <c r="U45" s="10"/>
      <c r="V45" s="10">
        <v>1115856</v>
      </c>
      <c r="W45" s="10">
        <v>2873092</v>
      </c>
      <c r="X45" s="10">
        <v>123967</v>
      </c>
      <c r="Y45" s="10">
        <v>336898</v>
      </c>
      <c r="Z45" s="10">
        <v>2147347</v>
      </c>
      <c r="AA45" s="10">
        <v>7309555</v>
      </c>
      <c r="AB45" s="10">
        <v>5401544</v>
      </c>
      <c r="AC45" s="10">
        <v>20253594</v>
      </c>
      <c r="AD45" s="10">
        <v>2366085</v>
      </c>
      <c r="AE45" s="10">
        <v>10667359</v>
      </c>
      <c r="AF45" s="10">
        <v>301200</v>
      </c>
      <c r="AG45" s="10">
        <v>982264</v>
      </c>
      <c r="AH45" s="10">
        <v>686720</v>
      </c>
      <c r="AI45" s="10">
        <v>2366343</v>
      </c>
      <c r="AJ45" s="10">
        <v>96729</v>
      </c>
      <c r="AK45" s="10">
        <v>297872</v>
      </c>
      <c r="AL45" s="10">
        <v>1502396</v>
      </c>
      <c r="AM45" s="10">
        <v>5392774</v>
      </c>
      <c r="AN45" s="10">
        <v>2973316</v>
      </c>
      <c r="AO45" s="10">
        <v>9003993</v>
      </c>
      <c r="AP45" s="10">
        <v>8127384.8537636809</v>
      </c>
      <c r="AQ45" s="10">
        <v>29906659.434881248</v>
      </c>
      <c r="AR45" s="36">
        <v>20957842</v>
      </c>
      <c r="AS45" s="36">
        <v>87111820</v>
      </c>
      <c r="AT45" s="10">
        <v>14426205</v>
      </c>
      <c r="AU45" s="10">
        <v>45185169</v>
      </c>
      <c r="AV45" s="10">
        <v>2446</v>
      </c>
      <c r="AW45" s="10">
        <v>5856</v>
      </c>
      <c r="AX45" s="10">
        <v>1944660</v>
      </c>
      <c r="AY45" s="10">
        <v>11595247</v>
      </c>
      <c r="AZ45" s="10">
        <v>4373928</v>
      </c>
      <c r="BA45" s="10">
        <v>14784126</v>
      </c>
      <c r="BB45" s="10">
        <v>831648</v>
      </c>
      <c r="BC45" s="10">
        <v>3201968</v>
      </c>
      <c r="BD45" s="10">
        <v>2410082</v>
      </c>
      <c r="BE45" s="10">
        <v>7412138</v>
      </c>
      <c r="BF45" s="36">
        <v>3197</v>
      </c>
      <c r="BG45" s="36">
        <v>12467</v>
      </c>
      <c r="BH45" s="10"/>
      <c r="BI45" s="10"/>
      <c r="BJ45" s="10">
        <v>1903550</v>
      </c>
      <c r="BK45" s="10">
        <v>7536838</v>
      </c>
      <c r="BL45" s="10">
        <v>17008631</v>
      </c>
      <c r="BM45" s="10">
        <v>50174703</v>
      </c>
      <c r="BN45" s="10">
        <v>367905</v>
      </c>
      <c r="BO45" s="10">
        <v>1512391</v>
      </c>
      <c r="BP45" s="82">
        <f t="shared" si="8"/>
        <v>103692863.85376368</v>
      </c>
      <c r="BQ45" s="82">
        <f t="shared" si="9"/>
        <v>365767830.43488121</v>
      </c>
    </row>
    <row r="46" spans="1:69" x14ac:dyDescent="0.25">
      <c r="A46" s="10" t="s">
        <v>242</v>
      </c>
      <c r="B46" s="10">
        <v>175821</v>
      </c>
      <c r="C46" s="10">
        <v>747476</v>
      </c>
      <c r="D46" s="10">
        <v>1868706</v>
      </c>
      <c r="E46" s="10">
        <v>4968551</v>
      </c>
      <c r="F46" s="10"/>
      <c r="G46" s="10"/>
      <c r="H46" s="10">
        <v>6860222</v>
      </c>
      <c r="I46" s="10">
        <v>17678387</v>
      </c>
      <c r="J46" s="10">
        <v>3768067</v>
      </c>
      <c r="K46" s="10">
        <v>17335876</v>
      </c>
      <c r="L46" s="10">
        <v>843331</v>
      </c>
      <c r="M46" s="10">
        <v>2928255</v>
      </c>
      <c r="N46" s="10">
        <v>650656</v>
      </c>
      <c r="O46" s="10">
        <v>2716934</v>
      </c>
      <c r="P46" s="10">
        <v>60111</v>
      </c>
      <c r="Q46" s="10">
        <v>382018</v>
      </c>
      <c r="R46" s="10">
        <v>120381</v>
      </c>
      <c r="S46" s="10">
        <v>485244</v>
      </c>
      <c r="T46" s="10"/>
      <c r="U46" s="10"/>
      <c r="V46" s="10">
        <v>713188</v>
      </c>
      <c r="W46" s="10">
        <v>2579485</v>
      </c>
      <c r="X46" s="10">
        <v>59967</v>
      </c>
      <c r="Y46" s="10">
        <v>228612</v>
      </c>
      <c r="Z46" s="10">
        <v>1725479</v>
      </c>
      <c r="AA46" s="10">
        <v>7082952</v>
      </c>
      <c r="AB46" s="10">
        <v>4381517</v>
      </c>
      <c r="AC46" s="10">
        <v>18300587</v>
      </c>
      <c r="AD46" s="10">
        <v>2680689</v>
      </c>
      <c r="AE46" s="10">
        <v>10040991</v>
      </c>
      <c r="AF46" s="10">
        <v>200306</v>
      </c>
      <c r="AG46" s="10">
        <v>647111</v>
      </c>
      <c r="AH46" s="10">
        <v>569544</v>
      </c>
      <c r="AI46" s="10">
        <v>2210672</v>
      </c>
      <c r="AJ46" s="10">
        <v>61124</v>
      </c>
      <c r="AK46" s="10">
        <v>286917</v>
      </c>
      <c r="AL46" s="10">
        <v>1354275</v>
      </c>
      <c r="AM46" s="10">
        <v>4927306</v>
      </c>
      <c r="AN46" s="10">
        <v>2919848</v>
      </c>
      <c r="AO46" s="10">
        <v>8024304</v>
      </c>
      <c r="AP46" s="10">
        <v>8785157.7837636806</v>
      </c>
      <c r="AQ46" s="10">
        <v>30708861.017881248</v>
      </c>
      <c r="AR46" s="36">
        <v>21397307</v>
      </c>
      <c r="AS46" s="36">
        <v>81403274</v>
      </c>
      <c r="AT46" s="10">
        <v>13073389</v>
      </c>
      <c r="AU46" s="10">
        <v>42097637</v>
      </c>
      <c r="AV46" s="10">
        <v>1060</v>
      </c>
      <c r="AW46" s="10">
        <v>2256</v>
      </c>
      <c r="AX46" s="10">
        <v>3416239</v>
      </c>
      <c r="AY46" s="10">
        <v>12153268</v>
      </c>
      <c r="AZ46" s="10">
        <v>4072455</v>
      </c>
      <c r="BA46" s="10">
        <v>13762854</v>
      </c>
      <c r="BB46" s="10">
        <v>781250</v>
      </c>
      <c r="BC46" s="10">
        <v>2993868</v>
      </c>
      <c r="BD46" s="10">
        <v>1748648</v>
      </c>
      <c r="BE46" s="10">
        <v>6183653</v>
      </c>
      <c r="BF46" s="36">
        <v>1741</v>
      </c>
      <c r="BG46" s="36">
        <v>5687</v>
      </c>
      <c r="BH46" s="10"/>
      <c r="BI46" s="10"/>
      <c r="BJ46" s="10">
        <v>1642710</v>
      </c>
      <c r="BK46" s="10">
        <v>6751146</v>
      </c>
      <c r="BL46" s="10">
        <v>17117204</v>
      </c>
      <c r="BM46" s="10">
        <v>50195887</v>
      </c>
      <c r="BN46" s="10">
        <v>377258</v>
      </c>
      <c r="BO46" s="10">
        <v>1445418</v>
      </c>
      <c r="BP46" s="82">
        <f t="shared" si="8"/>
        <v>101427650.78376368</v>
      </c>
      <c r="BQ46" s="82">
        <f t="shared" si="9"/>
        <v>349275487.01788127</v>
      </c>
    </row>
    <row r="48" spans="1:69" x14ac:dyDescent="0.25">
      <c r="A48" s="29" t="s">
        <v>233</v>
      </c>
    </row>
    <row r="49" spans="1:69" x14ac:dyDescent="0.25">
      <c r="A49" s="1" t="s">
        <v>0</v>
      </c>
      <c r="B49" s="111" t="s">
        <v>1</v>
      </c>
      <c r="C49" s="112"/>
      <c r="D49" s="111" t="s">
        <v>2</v>
      </c>
      <c r="E49" s="112"/>
      <c r="F49" s="111" t="s">
        <v>3</v>
      </c>
      <c r="G49" s="112"/>
      <c r="H49" s="111" t="s">
        <v>295</v>
      </c>
      <c r="I49" s="112"/>
      <c r="J49" s="111" t="s">
        <v>5</v>
      </c>
      <c r="K49" s="112"/>
      <c r="L49" s="111" t="s">
        <v>6</v>
      </c>
      <c r="M49" s="112"/>
      <c r="N49" s="111" t="s">
        <v>7</v>
      </c>
      <c r="O49" s="112"/>
      <c r="P49" s="111" t="s">
        <v>309</v>
      </c>
      <c r="Q49" s="112"/>
      <c r="R49" s="111" t="s">
        <v>9</v>
      </c>
      <c r="S49" s="112"/>
      <c r="T49" s="111" t="s">
        <v>10</v>
      </c>
      <c r="U49" s="112"/>
      <c r="V49" s="111" t="s">
        <v>11</v>
      </c>
      <c r="W49" s="112"/>
      <c r="X49" s="111" t="s">
        <v>12</v>
      </c>
      <c r="Y49" s="112"/>
      <c r="Z49" s="111" t="s">
        <v>13</v>
      </c>
      <c r="AA49" s="112"/>
      <c r="AB49" s="111" t="s">
        <v>14</v>
      </c>
      <c r="AC49" s="112"/>
      <c r="AD49" s="111" t="s">
        <v>15</v>
      </c>
      <c r="AE49" s="112"/>
      <c r="AF49" s="111" t="s">
        <v>16</v>
      </c>
      <c r="AG49" s="112"/>
      <c r="AH49" s="111" t="s">
        <v>17</v>
      </c>
      <c r="AI49" s="112"/>
      <c r="AJ49" s="111" t="s">
        <v>18</v>
      </c>
      <c r="AK49" s="112"/>
      <c r="AL49" s="111" t="s">
        <v>293</v>
      </c>
      <c r="AM49" s="112"/>
      <c r="AN49" s="111" t="s">
        <v>19</v>
      </c>
      <c r="AO49" s="112"/>
      <c r="AP49" s="111" t="s">
        <v>20</v>
      </c>
      <c r="AQ49" s="112"/>
      <c r="AR49" s="111" t="s">
        <v>21</v>
      </c>
      <c r="AS49" s="112"/>
      <c r="AT49" s="111" t="s">
        <v>22</v>
      </c>
      <c r="AU49" s="112"/>
      <c r="AV49" s="111" t="s">
        <v>23</v>
      </c>
      <c r="AW49" s="112"/>
      <c r="AX49" s="111" t="s">
        <v>24</v>
      </c>
      <c r="AY49" s="112"/>
      <c r="AZ49" s="111" t="s">
        <v>25</v>
      </c>
      <c r="BA49" s="112"/>
      <c r="BB49" s="111" t="s">
        <v>26</v>
      </c>
      <c r="BC49" s="112"/>
      <c r="BD49" s="111" t="s">
        <v>27</v>
      </c>
      <c r="BE49" s="112"/>
      <c r="BF49" s="111" t="s">
        <v>28</v>
      </c>
      <c r="BG49" s="112"/>
      <c r="BH49" s="111" t="s">
        <v>29</v>
      </c>
      <c r="BI49" s="112"/>
      <c r="BJ49" s="111" t="s">
        <v>30</v>
      </c>
      <c r="BK49" s="112"/>
      <c r="BL49" s="115" t="s">
        <v>31</v>
      </c>
      <c r="BM49" s="116"/>
      <c r="BN49" s="111" t="s">
        <v>32</v>
      </c>
      <c r="BO49" s="112"/>
      <c r="BP49" s="113" t="s">
        <v>33</v>
      </c>
      <c r="BQ49" s="114"/>
    </row>
    <row r="50" spans="1:69" ht="30" x14ac:dyDescent="0.25">
      <c r="A50" s="1"/>
      <c r="B50" s="66" t="s">
        <v>298</v>
      </c>
      <c r="C50" s="67" t="s">
        <v>299</v>
      </c>
      <c r="D50" s="66" t="s">
        <v>298</v>
      </c>
      <c r="E50" s="67" t="s">
        <v>299</v>
      </c>
      <c r="F50" s="66" t="s">
        <v>298</v>
      </c>
      <c r="G50" s="67" t="s">
        <v>299</v>
      </c>
      <c r="H50" s="66" t="s">
        <v>298</v>
      </c>
      <c r="I50" s="67" t="s">
        <v>299</v>
      </c>
      <c r="J50" s="66" t="s">
        <v>298</v>
      </c>
      <c r="K50" s="67" t="s">
        <v>299</v>
      </c>
      <c r="L50" s="66" t="s">
        <v>298</v>
      </c>
      <c r="M50" s="67" t="s">
        <v>299</v>
      </c>
      <c r="N50" s="66" t="s">
        <v>298</v>
      </c>
      <c r="O50" s="67" t="s">
        <v>299</v>
      </c>
      <c r="P50" s="66" t="s">
        <v>298</v>
      </c>
      <c r="Q50" s="67" t="s">
        <v>299</v>
      </c>
      <c r="R50" s="66" t="s">
        <v>298</v>
      </c>
      <c r="S50" s="67" t="s">
        <v>299</v>
      </c>
      <c r="T50" s="66" t="s">
        <v>298</v>
      </c>
      <c r="U50" s="67" t="s">
        <v>299</v>
      </c>
      <c r="V50" s="66" t="s">
        <v>298</v>
      </c>
      <c r="W50" s="67" t="s">
        <v>299</v>
      </c>
      <c r="X50" s="66" t="s">
        <v>298</v>
      </c>
      <c r="Y50" s="67" t="s">
        <v>299</v>
      </c>
      <c r="Z50" s="66" t="s">
        <v>298</v>
      </c>
      <c r="AA50" s="67" t="s">
        <v>299</v>
      </c>
      <c r="AB50" s="66" t="s">
        <v>298</v>
      </c>
      <c r="AC50" s="67" t="s">
        <v>299</v>
      </c>
      <c r="AD50" s="66" t="s">
        <v>298</v>
      </c>
      <c r="AE50" s="67" t="s">
        <v>299</v>
      </c>
      <c r="AF50" s="66" t="s">
        <v>298</v>
      </c>
      <c r="AG50" s="67" t="s">
        <v>299</v>
      </c>
      <c r="AH50" s="66" t="s">
        <v>298</v>
      </c>
      <c r="AI50" s="67" t="s">
        <v>299</v>
      </c>
      <c r="AJ50" s="66" t="s">
        <v>298</v>
      </c>
      <c r="AK50" s="67" t="s">
        <v>299</v>
      </c>
      <c r="AL50" s="66" t="s">
        <v>298</v>
      </c>
      <c r="AM50" s="67" t="s">
        <v>299</v>
      </c>
      <c r="AN50" s="66" t="s">
        <v>298</v>
      </c>
      <c r="AO50" s="67" t="s">
        <v>299</v>
      </c>
      <c r="AP50" s="66" t="s">
        <v>298</v>
      </c>
      <c r="AQ50" s="67" t="s">
        <v>299</v>
      </c>
      <c r="AR50" s="66" t="s">
        <v>298</v>
      </c>
      <c r="AS50" s="67" t="s">
        <v>299</v>
      </c>
      <c r="AT50" s="66" t="s">
        <v>298</v>
      </c>
      <c r="AU50" s="67" t="s">
        <v>299</v>
      </c>
      <c r="AV50" s="66" t="s">
        <v>298</v>
      </c>
      <c r="AW50" s="67" t="s">
        <v>299</v>
      </c>
      <c r="AX50" s="66" t="s">
        <v>298</v>
      </c>
      <c r="AY50" s="67" t="s">
        <v>299</v>
      </c>
      <c r="AZ50" s="66" t="s">
        <v>298</v>
      </c>
      <c r="BA50" s="67" t="s">
        <v>299</v>
      </c>
      <c r="BB50" s="66" t="s">
        <v>298</v>
      </c>
      <c r="BC50" s="67" t="s">
        <v>299</v>
      </c>
      <c r="BD50" s="66" t="s">
        <v>298</v>
      </c>
      <c r="BE50" s="67" t="s">
        <v>299</v>
      </c>
      <c r="BF50" s="66" t="s">
        <v>298</v>
      </c>
      <c r="BG50" s="67" t="s">
        <v>299</v>
      </c>
      <c r="BH50" s="66" t="s">
        <v>298</v>
      </c>
      <c r="BI50" s="67" t="s">
        <v>299</v>
      </c>
      <c r="BJ50" s="66" t="s">
        <v>298</v>
      </c>
      <c r="BK50" s="67" t="s">
        <v>299</v>
      </c>
      <c r="BL50" s="66" t="s">
        <v>298</v>
      </c>
      <c r="BM50" s="67" t="s">
        <v>299</v>
      </c>
      <c r="BN50" s="66" t="s">
        <v>298</v>
      </c>
      <c r="BO50" s="67" t="s">
        <v>299</v>
      </c>
      <c r="BP50" s="66" t="s">
        <v>298</v>
      </c>
      <c r="BQ50" s="67" t="s">
        <v>299</v>
      </c>
    </row>
    <row r="51" spans="1:69" x14ac:dyDescent="0.25">
      <c r="A51" s="10" t="s">
        <v>283</v>
      </c>
      <c r="B51" s="10">
        <v>1750</v>
      </c>
      <c r="C51" s="10">
        <v>7485</v>
      </c>
      <c r="D51" s="10">
        <v>376685</v>
      </c>
      <c r="E51" s="10">
        <v>1166562</v>
      </c>
      <c r="F51" s="10"/>
      <c r="G51" s="10"/>
      <c r="H51" s="10">
        <v>259355</v>
      </c>
      <c r="I51" s="10">
        <v>1377453</v>
      </c>
      <c r="J51" s="10">
        <v>607274</v>
      </c>
      <c r="K51" s="10">
        <v>2734018</v>
      </c>
      <c r="L51" s="10">
        <v>140582</v>
      </c>
      <c r="M51" s="10">
        <v>455276</v>
      </c>
      <c r="N51" s="10">
        <v>704365</v>
      </c>
      <c r="O51" s="10">
        <v>3044525</v>
      </c>
      <c r="P51" s="10">
        <v>16337</v>
      </c>
      <c r="Q51" s="10">
        <v>53849</v>
      </c>
      <c r="R51" s="10">
        <v>19197</v>
      </c>
      <c r="S51" s="10">
        <v>21575</v>
      </c>
      <c r="T51" s="10"/>
      <c r="U51" s="10"/>
      <c r="V51" s="10">
        <v>219663</v>
      </c>
      <c r="W51" s="10">
        <v>775406</v>
      </c>
      <c r="X51" s="10">
        <v>36677</v>
      </c>
      <c r="Y51" s="10">
        <v>120559</v>
      </c>
      <c r="Z51" s="10">
        <v>1373278</v>
      </c>
      <c r="AA51" s="10">
        <v>6467519</v>
      </c>
      <c r="AB51" s="10">
        <v>1093939</v>
      </c>
      <c r="AC51" s="10">
        <v>5017099</v>
      </c>
      <c r="AD51" s="10">
        <v>194181</v>
      </c>
      <c r="AE51" s="10">
        <v>902441</v>
      </c>
      <c r="AF51" s="10">
        <v>87240</v>
      </c>
      <c r="AG51" s="10">
        <v>278291</v>
      </c>
      <c r="AH51" s="10">
        <v>57221</v>
      </c>
      <c r="AI51" s="10">
        <v>208597</v>
      </c>
      <c r="AJ51" s="10">
        <v>8357</v>
      </c>
      <c r="AK51" s="10">
        <v>43907</v>
      </c>
      <c r="AL51" s="10">
        <v>25327</v>
      </c>
      <c r="AM51" s="10">
        <v>80476</v>
      </c>
      <c r="AN51" s="10">
        <v>203965</v>
      </c>
      <c r="AO51" s="10">
        <v>638442</v>
      </c>
      <c r="AP51" s="10">
        <v>409119.67299999995</v>
      </c>
      <c r="AQ51" s="10">
        <v>1913946.42</v>
      </c>
      <c r="AR51" s="36">
        <v>944255</v>
      </c>
      <c r="AS51" s="36">
        <v>3729931</v>
      </c>
      <c r="AT51" s="10">
        <v>558009</v>
      </c>
      <c r="AU51" s="10">
        <v>2385456</v>
      </c>
      <c r="AV51" s="10">
        <v>348</v>
      </c>
      <c r="AW51" s="10">
        <v>2812</v>
      </c>
      <c r="AX51" s="10">
        <v>121715</v>
      </c>
      <c r="AY51" s="10">
        <v>576543</v>
      </c>
      <c r="AZ51" s="10">
        <v>486464</v>
      </c>
      <c r="BA51" s="10">
        <v>1572484</v>
      </c>
      <c r="BB51" s="10">
        <v>136014</v>
      </c>
      <c r="BC51" s="10">
        <v>571123</v>
      </c>
      <c r="BD51" s="10">
        <v>2814810</v>
      </c>
      <c r="BE51" s="10">
        <v>8317487</v>
      </c>
      <c r="BF51" s="36">
        <v>21577</v>
      </c>
      <c r="BG51" s="36">
        <v>143464</v>
      </c>
      <c r="BH51" s="10"/>
      <c r="BI51" s="10"/>
      <c r="BJ51" s="10">
        <v>293996</v>
      </c>
      <c r="BK51" s="10">
        <v>1283687</v>
      </c>
      <c r="BL51" s="10">
        <v>1633845</v>
      </c>
      <c r="BM51" s="10">
        <v>5326576</v>
      </c>
      <c r="BN51" s="10">
        <v>139256</v>
      </c>
      <c r="BO51" s="10">
        <v>1584394</v>
      </c>
      <c r="BP51" s="82">
        <f t="shared" ref="BP51:BP55" si="10">B51+D51+F51+H51+J51+L51+N51+P51+R51+T51+V51+X51+Z51+AB51+AD51+AF51+AH51+AJ51+AL51+AN51+AP51+AR51+AT51+AV51+AX51+AZ51+BB51+BD51+BF51+BH51+BJ51+BL51+BN51</f>
        <v>12984801.673</v>
      </c>
      <c r="BQ51" s="82">
        <f t="shared" ref="BQ51:BQ55" si="11">C51+E51+G51+I51+K51+M51+O51+Q51+S51+U51+W51+Y51+AA51+AC51+AE51+AG51+AI51+AK51+AM51+AO51+AQ51+AS51+AU51+AW51+AY51+BA51+BC51+BE51+BG51+BI51+BK51+BM51+BO51</f>
        <v>50801383.420000002</v>
      </c>
    </row>
    <row r="52" spans="1:69" x14ac:dyDescent="0.25">
      <c r="A52" s="10" t="s">
        <v>286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>
        <v>420</v>
      </c>
      <c r="S52" s="10">
        <v>21107</v>
      </c>
      <c r="T52" s="10"/>
      <c r="U52" s="10"/>
      <c r="V52" s="10"/>
      <c r="W52" s="10"/>
      <c r="X52" s="10"/>
      <c r="Y52" s="10"/>
      <c r="Z52" s="10"/>
      <c r="AA52" s="10">
        <v>14038</v>
      </c>
      <c r="AB52" s="10">
        <v>43</v>
      </c>
      <c r="AC52" s="10">
        <v>10684</v>
      </c>
      <c r="AD52" s="10"/>
      <c r="AE52" s="10"/>
      <c r="AF52" s="10"/>
      <c r="AG52" s="10"/>
      <c r="AH52" s="10"/>
      <c r="AI52" s="10">
        <v>14650</v>
      </c>
      <c r="AJ52" s="10">
        <v>-1</v>
      </c>
      <c r="AK52" s="10">
        <v>2655</v>
      </c>
      <c r="AL52" s="10"/>
      <c r="AM52" s="10"/>
      <c r="AN52" s="10"/>
      <c r="AO52" s="10"/>
      <c r="AP52" s="10">
        <v>0</v>
      </c>
      <c r="AQ52" s="10">
        <v>0</v>
      </c>
      <c r="AR52" s="36">
        <v>9563</v>
      </c>
      <c r="AS52" s="36">
        <v>102145</v>
      </c>
      <c r="AT52" s="10">
        <v>57</v>
      </c>
      <c r="AU52" s="10">
        <v>2120</v>
      </c>
      <c r="AV52" s="10"/>
      <c r="AW52" s="10"/>
      <c r="AX52" s="10"/>
      <c r="AY52" s="10"/>
      <c r="AZ52" s="10"/>
      <c r="BA52" s="10">
        <v>20</v>
      </c>
      <c r="BB52" s="10"/>
      <c r="BC52" s="10">
        <v>21984</v>
      </c>
      <c r="BD52" s="10"/>
      <c r="BE52" s="10"/>
      <c r="BF52" s="10"/>
      <c r="BG52" s="10"/>
      <c r="BH52" s="10"/>
      <c r="BI52" s="10"/>
      <c r="BJ52" s="10"/>
      <c r="BK52" s="10">
        <v>34985</v>
      </c>
      <c r="BL52" s="10"/>
      <c r="BM52" s="10"/>
      <c r="BN52" s="10"/>
      <c r="BO52" s="10"/>
      <c r="BP52" s="82">
        <f t="shared" si="10"/>
        <v>10082</v>
      </c>
      <c r="BQ52" s="82">
        <f t="shared" si="11"/>
        <v>224388</v>
      </c>
    </row>
    <row r="53" spans="1:69" x14ac:dyDescent="0.25">
      <c r="A53" s="10" t="s">
        <v>287</v>
      </c>
      <c r="B53" s="10">
        <v>87</v>
      </c>
      <c r="C53" s="10">
        <v>347</v>
      </c>
      <c r="D53" s="10">
        <v>20984</v>
      </c>
      <c r="E53" s="10">
        <v>83372</v>
      </c>
      <c r="F53" s="10"/>
      <c r="G53" s="10"/>
      <c r="H53" s="10">
        <v>9496</v>
      </c>
      <c r="I53" s="10">
        <v>207873</v>
      </c>
      <c r="J53" s="10">
        <v>36683</v>
      </c>
      <c r="K53" s="10">
        <v>162451</v>
      </c>
      <c r="L53" s="10">
        <v>8195</v>
      </c>
      <c r="M53" s="10">
        <v>26547</v>
      </c>
      <c r="N53" s="10">
        <v>167791</v>
      </c>
      <c r="O53" s="10">
        <v>647009</v>
      </c>
      <c r="P53" s="10">
        <v>-9813</v>
      </c>
      <c r="Q53" s="10">
        <v>-32481</v>
      </c>
      <c r="R53" s="10">
        <v>17707</v>
      </c>
      <c r="S53" s="10">
        <v>19897</v>
      </c>
      <c r="T53" s="10"/>
      <c r="U53" s="10"/>
      <c r="V53" s="10">
        <v>42170</v>
      </c>
      <c r="W53" s="10">
        <v>116358</v>
      </c>
      <c r="X53" s="10">
        <v>1834</v>
      </c>
      <c r="Y53" s="10">
        <v>6028</v>
      </c>
      <c r="Z53" s="10">
        <v>-485994</v>
      </c>
      <c r="AA53" s="10">
        <v>-2173976</v>
      </c>
      <c r="AB53" s="10">
        <v>94142</v>
      </c>
      <c r="AC53" s="10">
        <v>782298</v>
      </c>
      <c r="AD53" s="10">
        <v>28862</v>
      </c>
      <c r="AE53" s="10">
        <v>108719</v>
      </c>
      <c r="AF53" s="10">
        <v>48842</v>
      </c>
      <c r="AG53" s="10">
        <v>166080</v>
      </c>
      <c r="AH53" s="10">
        <v>2874</v>
      </c>
      <c r="AI53" s="10">
        <v>17460</v>
      </c>
      <c r="AJ53" s="10">
        <v>-2029</v>
      </c>
      <c r="AK53" s="10">
        <v>-5548</v>
      </c>
      <c r="AL53" s="10">
        <v>1323</v>
      </c>
      <c r="AM53" s="10">
        <v>4477</v>
      </c>
      <c r="AN53" s="10">
        <v>36604</v>
      </c>
      <c r="AO53" s="10">
        <v>105605</v>
      </c>
      <c r="AP53" s="10">
        <v>20455.983999999997</v>
      </c>
      <c r="AQ53" s="10">
        <v>95697.29</v>
      </c>
      <c r="AR53" s="36">
        <v>50445</v>
      </c>
      <c r="AS53" s="36">
        <v>192914</v>
      </c>
      <c r="AT53" s="10">
        <v>50136</v>
      </c>
      <c r="AU53" s="10">
        <v>76845</v>
      </c>
      <c r="AV53" s="10">
        <v>192</v>
      </c>
      <c r="AW53" s="10">
        <v>2237</v>
      </c>
      <c r="AX53" s="10">
        <v>32067</v>
      </c>
      <c r="AY53" s="10">
        <v>162351</v>
      </c>
      <c r="AZ53" s="10">
        <v>24901</v>
      </c>
      <c r="BA53" s="10">
        <v>96428</v>
      </c>
      <c r="BB53" s="10">
        <v>-15731</v>
      </c>
      <c r="BC53" s="10">
        <v>-83035</v>
      </c>
      <c r="BD53" s="10">
        <v>152576</v>
      </c>
      <c r="BE53" s="10">
        <v>452403</v>
      </c>
      <c r="BF53" s="36">
        <v>11918</v>
      </c>
      <c r="BG53" s="36">
        <v>92471</v>
      </c>
      <c r="BH53" s="10"/>
      <c r="BI53" s="10"/>
      <c r="BJ53" s="10">
        <v>17142</v>
      </c>
      <c r="BK53" s="10">
        <v>76060</v>
      </c>
      <c r="BL53" s="10">
        <v>690611</v>
      </c>
      <c r="BM53" s="10">
        <v>2218370</v>
      </c>
      <c r="BN53" s="10">
        <v>67637</v>
      </c>
      <c r="BO53" s="10">
        <v>238738</v>
      </c>
      <c r="BP53" s="82">
        <f t="shared" si="10"/>
        <v>1122107.9839999999</v>
      </c>
      <c r="BQ53" s="82">
        <f t="shared" si="11"/>
        <v>3863995.29</v>
      </c>
    </row>
    <row r="54" spans="1:69" x14ac:dyDescent="0.25">
      <c r="A54" s="10" t="s">
        <v>241</v>
      </c>
      <c r="B54" s="10">
        <v>1663</v>
      </c>
      <c r="C54" s="10">
        <v>7111</v>
      </c>
      <c r="D54" s="10">
        <v>355700</v>
      </c>
      <c r="E54" s="10">
        <v>1083189</v>
      </c>
      <c r="F54" s="10"/>
      <c r="G54" s="10"/>
      <c r="H54" s="10">
        <v>249859</v>
      </c>
      <c r="I54" s="10">
        <v>1169580</v>
      </c>
      <c r="J54" s="10">
        <v>570591</v>
      </c>
      <c r="K54" s="10">
        <v>2571567</v>
      </c>
      <c r="L54" s="10">
        <v>132387</v>
      </c>
      <c r="M54" s="10">
        <v>428729</v>
      </c>
      <c r="N54" s="10">
        <v>536574</v>
      </c>
      <c r="O54" s="10">
        <v>2397516</v>
      </c>
      <c r="P54" s="10">
        <v>6524</v>
      </c>
      <c r="Q54" s="10">
        <v>21368</v>
      </c>
      <c r="R54" s="10">
        <v>1910</v>
      </c>
      <c r="S54" s="10">
        <v>22785</v>
      </c>
      <c r="T54" s="10"/>
      <c r="U54" s="10"/>
      <c r="V54" s="10">
        <v>177493</v>
      </c>
      <c r="W54" s="10">
        <v>659048</v>
      </c>
      <c r="X54" s="10">
        <v>34843</v>
      </c>
      <c r="Y54" s="10">
        <v>114531</v>
      </c>
      <c r="Z54" s="10">
        <v>887284</v>
      </c>
      <c r="AA54" s="10">
        <v>4307581</v>
      </c>
      <c r="AB54" s="10">
        <v>999840</v>
      </c>
      <c r="AC54" s="10">
        <v>4245485</v>
      </c>
      <c r="AD54" s="10">
        <v>165319</v>
      </c>
      <c r="AE54" s="10">
        <v>793722</v>
      </c>
      <c r="AF54" s="10">
        <v>38398</v>
      </c>
      <c r="AG54" s="10">
        <v>112211</v>
      </c>
      <c r="AH54" s="10">
        <v>54347</v>
      </c>
      <c r="AI54" s="10">
        <v>205787</v>
      </c>
      <c r="AJ54" s="10">
        <v>6327</v>
      </c>
      <c r="AK54" s="10">
        <v>41014</v>
      </c>
      <c r="AL54" s="10">
        <v>24005</v>
      </c>
      <c r="AM54" s="10">
        <v>75999</v>
      </c>
      <c r="AN54" s="10">
        <v>167361</v>
      </c>
      <c r="AO54" s="10">
        <v>532837</v>
      </c>
      <c r="AP54" s="10">
        <v>388663.68899999995</v>
      </c>
      <c r="AQ54" s="10">
        <v>1818249.13</v>
      </c>
      <c r="AR54" s="36">
        <v>903373</v>
      </c>
      <c r="AS54" s="36">
        <v>3639162</v>
      </c>
      <c r="AT54" s="10">
        <v>507930</v>
      </c>
      <c r="AU54" s="10">
        <v>2310731</v>
      </c>
      <c r="AV54" s="10">
        <v>155</v>
      </c>
      <c r="AW54" s="10">
        <v>576</v>
      </c>
      <c r="AX54" s="10">
        <v>89648</v>
      </c>
      <c r="AY54" s="10">
        <v>414192</v>
      </c>
      <c r="AZ54" s="10">
        <v>461563</v>
      </c>
      <c r="BA54" s="10">
        <v>1476076</v>
      </c>
      <c r="BB54" s="10">
        <v>120283</v>
      </c>
      <c r="BC54" s="10">
        <v>510072</v>
      </c>
      <c r="BD54" s="10">
        <v>2662234</v>
      </c>
      <c r="BE54" s="10">
        <v>7865084</v>
      </c>
      <c r="BF54" s="36">
        <v>9659</v>
      </c>
      <c r="BG54" s="36">
        <v>50993</v>
      </c>
      <c r="BH54" s="10"/>
      <c r="BI54" s="10"/>
      <c r="BJ54" s="10">
        <v>276854</v>
      </c>
      <c r="BK54" s="10">
        <v>1242612</v>
      </c>
      <c r="BL54" s="10">
        <v>943234</v>
      </c>
      <c r="BM54" s="10">
        <v>3108204</v>
      </c>
      <c r="BN54" s="10">
        <v>71619</v>
      </c>
      <c r="BO54" s="10">
        <v>1345656</v>
      </c>
      <c r="BP54" s="82">
        <f t="shared" si="10"/>
        <v>10845640.688999999</v>
      </c>
      <c r="BQ54" s="82">
        <f t="shared" si="11"/>
        <v>42571667.129999995</v>
      </c>
    </row>
    <row r="55" spans="1:69" x14ac:dyDescent="0.25">
      <c r="A55" s="10" t="s">
        <v>242</v>
      </c>
      <c r="B55" s="10">
        <v>1928</v>
      </c>
      <c r="C55" s="10">
        <v>7322</v>
      </c>
      <c r="D55" s="10">
        <v>285722</v>
      </c>
      <c r="E55" s="10">
        <v>885528</v>
      </c>
      <c r="F55" s="10"/>
      <c r="G55" s="10"/>
      <c r="H55" s="10">
        <v>242824</v>
      </c>
      <c r="I55" s="10">
        <v>1174614</v>
      </c>
      <c r="J55" s="10">
        <v>599391</v>
      </c>
      <c r="K55" s="10">
        <v>2444678</v>
      </c>
      <c r="L55" s="10">
        <v>73512</v>
      </c>
      <c r="M55" s="10">
        <v>255153</v>
      </c>
      <c r="N55" s="10">
        <v>555807</v>
      </c>
      <c r="O55" s="10">
        <v>2088416</v>
      </c>
      <c r="P55" s="10">
        <v>4938</v>
      </c>
      <c r="Q55" s="10">
        <v>58206</v>
      </c>
      <c r="R55" s="10">
        <v>2199</v>
      </c>
      <c r="S55" s="10">
        <v>18450</v>
      </c>
      <c r="T55" s="10"/>
      <c r="U55" s="10"/>
      <c r="V55" s="10">
        <v>160685</v>
      </c>
      <c r="W55" s="10">
        <v>598233</v>
      </c>
      <c r="X55" s="10">
        <v>25983</v>
      </c>
      <c r="Y55" s="10">
        <v>54253</v>
      </c>
      <c r="Z55" s="10">
        <v>964352</v>
      </c>
      <c r="AA55" s="10">
        <v>4143806</v>
      </c>
      <c r="AB55" s="10">
        <v>1163982</v>
      </c>
      <c r="AC55" s="10">
        <v>4321297</v>
      </c>
      <c r="AD55" s="10">
        <v>186398</v>
      </c>
      <c r="AE55" s="10">
        <v>707213</v>
      </c>
      <c r="AF55" s="10">
        <v>24609</v>
      </c>
      <c r="AG55" s="10">
        <v>82346</v>
      </c>
      <c r="AH55" s="10">
        <v>53875</v>
      </c>
      <c r="AI55" s="10">
        <v>200590</v>
      </c>
      <c r="AJ55" s="10">
        <v>10141</v>
      </c>
      <c r="AK55" s="10">
        <v>42560</v>
      </c>
      <c r="AL55" s="10">
        <v>25145</v>
      </c>
      <c r="AM55" s="10">
        <v>107053</v>
      </c>
      <c r="AN55" s="10">
        <v>114917</v>
      </c>
      <c r="AO55" s="10">
        <v>386387</v>
      </c>
      <c r="AP55" s="10">
        <v>386581.82499999995</v>
      </c>
      <c r="AQ55" s="10">
        <v>1698048.791</v>
      </c>
      <c r="AR55" s="36">
        <v>916975</v>
      </c>
      <c r="AS55" s="36">
        <v>4344521</v>
      </c>
      <c r="AT55" s="10">
        <v>1331005</v>
      </c>
      <c r="AU55" s="10">
        <v>3937275</v>
      </c>
      <c r="AV55" s="10">
        <v>203</v>
      </c>
      <c r="AW55" s="10">
        <v>587</v>
      </c>
      <c r="AX55" s="10">
        <v>84871</v>
      </c>
      <c r="AY55" s="10">
        <v>330912</v>
      </c>
      <c r="AZ55" s="10">
        <v>400982</v>
      </c>
      <c r="BA55" s="10">
        <v>1321653</v>
      </c>
      <c r="BB55" s="10">
        <v>121916</v>
      </c>
      <c r="BC55" s="10">
        <v>490569</v>
      </c>
      <c r="BD55" s="10">
        <v>1871642</v>
      </c>
      <c r="BE55" s="10">
        <v>6722626</v>
      </c>
      <c r="BF55" s="36">
        <v>12395</v>
      </c>
      <c r="BG55" s="36">
        <v>50740</v>
      </c>
      <c r="BH55" s="10"/>
      <c r="BI55" s="10"/>
      <c r="BJ55" s="10">
        <v>322779</v>
      </c>
      <c r="BK55" s="10">
        <v>1346969</v>
      </c>
      <c r="BL55" s="10">
        <v>925918</v>
      </c>
      <c r="BM55" s="10">
        <v>3119321</v>
      </c>
      <c r="BN55" s="10">
        <v>312559</v>
      </c>
      <c r="BO55" s="10">
        <v>591252</v>
      </c>
      <c r="BP55" s="82">
        <f t="shared" si="10"/>
        <v>11184234.824999999</v>
      </c>
      <c r="BQ55" s="82">
        <f t="shared" si="11"/>
        <v>41530578.791000001</v>
      </c>
    </row>
    <row r="57" spans="1:69" x14ac:dyDescent="0.25">
      <c r="A57" s="29" t="s">
        <v>234</v>
      </c>
    </row>
    <row r="58" spans="1:69" x14ac:dyDescent="0.25">
      <c r="A58" s="1" t="s">
        <v>0</v>
      </c>
      <c r="B58" s="111" t="s">
        <v>1</v>
      </c>
      <c r="C58" s="112"/>
      <c r="D58" s="111" t="s">
        <v>2</v>
      </c>
      <c r="E58" s="112"/>
      <c r="F58" s="111" t="s">
        <v>3</v>
      </c>
      <c r="G58" s="112"/>
      <c r="H58" s="111" t="s">
        <v>295</v>
      </c>
      <c r="I58" s="112"/>
      <c r="J58" s="111" t="s">
        <v>5</v>
      </c>
      <c r="K58" s="112"/>
      <c r="L58" s="111" t="s">
        <v>6</v>
      </c>
      <c r="M58" s="112"/>
      <c r="N58" s="111" t="s">
        <v>7</v>
      </c>
      <c r="O58" s="112"/>
      <c r="P58" s="111" t="s">
        <v>309</v>
      </c>
      <c r="Q58" s="112"/>
      <c r="R58" s="111" t="s">
        <v>9</v>
      </c>
      <c r="S58" s="112"/>
      <c r="T58" s="111" t="s">
        <v>10</v>
      </c>
      <c r="U58" s="112"/>
      <c r="V58" s="111" t="s">
        <v>11</v>
      </c>
      <c r="W58" s="112"/>
      <c r="X58" s="111" t="s">
        <v>12</v>
      </c>
      <c r="Y58" s="112"/>
      <c r="Z58" s="111" t="s">
        <v>13</v>
      </c>
      <c r="AA58" s="112"/>
      <c r="AB58" s="111" t="s">
        <v>14</v>
      </c>
      <c r="AC58" s="112"/>
      <c r="AD58" s="111" t="s">
        <v>15</v>
      </c>
      <c r="AE58" s="112"/>
      <c r="AF58" s="111" t="s">
        <v>16</v>
      </c>
      <c r="AG58" s="112"/>
      <c r="AH58" s="111" t="s">
        <v>17</v>
      </c>
      <c r="AI58" s="112"/>
      <c r="AJ58" s="111" t="s">
        <v>18</v>
      </c>
      <c r="AK58" s="112"/>
      <c r="AL58" s="111" t="s">
        <v>293</v>
      </c>
      <c r="AM58" s="112"/>
      <c r="AN58" s="111" t="s">
        <v>19</v>
      </c>
      <c r="AO58" s="112"/>
      <c r="AP58" s="111" t="s">
        <v>20</v>
      </c>
      <c r="AQ58" s="112"/>
      <c r="AR58" s="111" t="s">
        <v>21</v>
      </c>
      <c r="AS58" s="112"/>
      <c r="AT58" s="111" t="s">
        <v>22</v>
      </c>
      <c r="AU58" s="112"/>
      <c r="AV58" s="111" t="s">
        <v>23</v>
      </c>
      <c r="AW58" s="112"/>
      <c r="AX58" s="111" t="s">
        <v>24</v>
      </c>
      <c r="AY58" s="112"/>
      <c r="AZ58" s="111" t="s">
        <v>25</v>
      </c>
      <c r="BA58" s="112"/>
      <c r="BB58" s="111" t="s">
        <v>26</v>
      </c>
      <c r="BC58" s="112"/>
      <c r="BD58" s="111" t="s">
        <v>27</v>
      </c>
      <c r="BE58" s="112"/>
      <c r="BF58" s="111" t="s">
        <v>28</v>
      </c>
      <c r="BG58" s="112"/>
      <c r="BH58" s="111" t="s">
        <v>29</v>
      </c>
      <c r="BI58" s="112"/>
      <c r="BJ58" s="111" t="s">
        <v>30</v>
      </c>
      <c r="BK58" s="112"/>
      <c r="BL58" s="115" t="s">
        <v>31</v>
      </c>
      <c r="BM58" s="116"/>
      <c r="BN58" s="111" t="s">
        <v>32</v>
      </c>
      <c r="BO58" s="112"/>
      <c r="BP58" s="113" t="s">
        <v>33</v>
      </c>
      <c r="BQ58" s="114"/>
    </row>
    <row r="59" spans="1:69" ht="30" x14ac:dyDescent="0.25">
      <c r="A59" s="1"/>
      <c r="B59" s="66" t="s">
        <v>298</v>
      </c>
      <c r="C59" s="67" t="s">
        <v>299</v>
      </c>
      <c r="D59" s="66" t="s">
        <v>298</v>
      </c>
      <c r="E59" s="67" t="s">
        <v>299</v>
      </c>
      <c r="F59" s="66" t="s">
        <v>298</v>
      </c>
      <c r="G59" s="67" t="s">
        <v>299</v>
      </c>
      <c r="H59" s="66" t="s">
        <v>298</v>
      </c>
      <c r="I59" s="67" t="s">
        <v>299</v>
      </c>
      <c r="J59" s="66" t="s">
        <v>298</v>
      </c>
      <c r="K59" s="67" t="s">
        <v>299</v>
      </c>
      <c r="L59" s="66" t="s">
        <v>298</v>
      </c>
      <c r="M59" s="67" t="s">
        <v>299</v>
      </c>
      <c r="N59" s="66" t="s">
        <v>298</v>
      </c>
      <c r="O59" s="67" t="s">
        <v>299</v>
      </c>
      <c r="P59" s="66" t="s">
        <v>298</v>
      </c>
      <c r="Q59" s="67" t="s">
        <v>299</v>
      </c>
      <c r="R59" s="66" t="s">
        <v>298</v>
      </c>
      <c r="S59" s="67" t="s">
        <v>299</v>
      </c>
      <c r="T59" s="66" t="s">
        <v>298</v>
      </c>
      <c r="U59" s="67" t="s">
        <v>299</v>
      </c>
      <c r="V59" s="66" t="s">
        <v>298</v>
      </c>
      <c r="W59" s="67" t="s">
        <v>299</v>
      </c>
      <c r="X59" s="66" t="s">
        <v>298</v>
      </c>
      <c r="Y59" s="67" t="s">
        <v>299</v>
      </c>
      <c r="Z59" s="66" t="s">
        <v>298</v>
      </c>
      <c r="AA59" s="67" t="s">
        <v>299</v>
      </c>
      <c r="AB59" s="66" t="s">
        <v>298</v>
      </c>
      <c r="AC59" s="67" t="s">
        <v>299</v>
      </c>
      <c r="AD59" s="66" t="s">
        <v>298</v>
      </c>
      <c r="AE59" s="67" t="s">
        <v>299</v>
      </c>
      <c r="AF59" s="66" t="s">
        <v>298</v>
      </c>
      <c r="AG59" s="67" t="s">
        <v>299</v>
      </c>
      <c r="AH59" s="66" t="s">
        <v>298</v>
      </c>
      <c r="AI59" s="67" t="s">
        <v>299</v>
      </c>
      <c r="AJ59" s="66" t="s">
        <v>298</v>
      </c>
      <c r="AK59" s="67" t="s">
        <v>299</v>
      </c>
      <c r="AL59" s="66" t="s">
        <v>298</v>
      </c>
      <c r="AM59" s="67" t="s">
        <v>299</v>
      </c>
      <c r="AN59" s="66" t="s">
        <v>298</v>
      </c>
      <c r="AO59" s="67" t="s">
        <v>299</v>
      </c>
      <c r="AP59" s="66" t="s">
        <v>298</v>
      </c>
      <c r="AQ59" s="67" t="s">
        <v>299</v>
      </c>
      <c r="AR59" s="66" t="s">
        <v>298</v>
      </c>
      <c r="AS59" s="67" t="s">
        <v>299</v>
      </c>
      <c r="AT59" s="66" t="s">
        <v>298</v>
      </c>
      <c r="AU59" s="67" t="s">
        <v>299</v>
      </c>
      <c r="AV59" s="66" t="s">
        <v>298</v>
      </c>
      <c r="AW59" s="67" t="s">
        <v>299</v>
      </c>
      <c r="AX59" s="66" t="s">
        <v>298</v>
      </c>
      <c r="AY59" s="67" t="s">
        <v>299</v>
      </c>
      <c r="AZ59" s="66" t="s">
        <v>298</v>
      </c>
      <c r="BA59" s="67" t="s">
        <v>299</v>
      </c>
      <c r="BB59" s="66" t="s">
        <v>298</v>
      </c>
      <c r="BC59" s="67" t="s">
        <v>299</v>
      </c>
      <c r="BD59" s="66" t="s">
        <v>298</v>
      </c>
      <c r="BE59" s="67" t="s">
        <v>299</v>
      </c>
      <c r="BF59" s="66" t="s">
        <v>298</v>
      </c>
      <c r="BG59" s="67" t="s">
        <v>299</v>
      </c>
      <c r="BH59" s="66" t="s">
        <v>298</v>
      </c>
      <c r="BI59" s="67" t="s">
        <v>299</v>
      </c>
      <c r="BJ59" s="66" t="s">
        <v>298</v>
      </c>
      <c r="BK59" s="67" t="s">
        <v>299</v>
      </c>
      <c r="BL59" s="66" t="s">
        <v>298</v>
      </c>
      <c r="BM59" s="67" t="s">
        <v>299</v>
      </c>
      <c r="BN59" s="66" t="s">
        <v>298</v>
      </c>
      <c r="BO59" s="67" t="s">
        <v>299</v>
      </c>
      <c r="BP59" s="66" t="s">
        <v>298</v>
      </c>
      <c r="BQ59" s="67" t="s">
        <v>299</v>
      </c>
    </row>
    <row r="60" spans="1:69" x14ac:dyDescent="0.25">
      <c r="A60" s="10" t="s">
        <v>283</v>
      </c>
      <c r="B60" s="10">
        <v>69244</v>
      </c>
      <c r="C60" s="10">
        <v>577267</v>
      </c>
      <c r="D60" s="10"/>
      <c r="E60" s="10"/>
      <c r="F60" s="10"/>
      <c r="G60" s="10"/>
      <c r="H60" s="10"/>
      <c r="I60" s="10"/>
      <c r="J60" s="10">
        <v>77598</v>
      </c>
      <c r="K60" s="10">
        <v>427826</v>
      </c>
      <c r="L60" s="10">
        <v>78711</v>
      </c>
      <c r="M60" s="10">
        <v>336539</v>
      </c>
      <c r="N60" s="10">
        <v>30410</v>
      </c>
      <c r="O60" s="10">
        <v>100574</v>
      </c>
      <c r="P60" s="10"/>
      <c r="Q60" s="10"/>
      <c r="R60" s="10"/>
      <c r="S60" s="10"/>
      <c r="T60" s="10"/>
      <c r="U60" s="10"/>
      <c r="V60" s="10">
        <v>51899</v>
      </c>
      <c r="W60" s="10">
        <v>194416</v>
      </c>
      <c r="X60" s="10"/>
      <c r="Y60" s="10"/>
      <c r="Z60" s="10">
        <v>17266</v>
      </c>
      <c r="AA60" s="10">
        <v>36112</v>
      </c>
      <c r="AB60" s="10">
        <v>71487</v>
      </c>
      <c r="AC60" s="10">
        <v>530626</v>
      </c>
      <c r="AD60" s="10">
        <v>69433</v>
      </c>
      <c r="AE60" s="10">
        <v>356875</v>
      </c>
      <c r="AF60" s="10"/>
      <c r="AG60" s="10"/>
      <c r="AH60" s="10">
        <v>33850</v>
      </c>
      <c r="AI60" s="10">
        <v>113959</v>
      </c>
      <c r="AJ60" s="10">
        <v>53</v>
      </c>
      <c r="AK60" s="10">
        <v>410</v>
      </c>
      <c r="AL60" s="10"/>
      <c r="AM60" s="10"/>
      <c r="AN60" s="10"/>
      <c r="AO60" s="10"/>
      <c r="AP60" s="10">
        <v>112764.29167499999</v>
      </c>
      <c r="AQ60" s="10">
        <v>618397.75537499995</v>
      </c>
      <c r="AR60" s="36">
        <v>1576017</v>
      </c>
      <c r="AS60" s="36">
        <v>6100255</v>
      </c>
      <c r="AT60" s="10">
        <v>190564</v>
      </c>
      <c r="AU60" s="10">
        <v>778038</v>
      </c>
      <c r="AV60" s="10">
        <v>16228</v>
      </c>
      <c r="AW60" s="10">
        <v>61118</v>
      </c>
      <c r="AX60" s="10">
        <v>48645</v>
      </c>
      <c r="AY60" s="10">
        <v>287123</v>
      </c>
      <c r="AZ60" s="10"/>
      <c r="BA60" s="10"/>
      <c r="BB60" s="10">
        <v>23277</v>
      </c>
      <c r="BC60" s="10">
        <v>70821</v>
      </c>
      <c r="BD60" s="10">
        <v>41651</v>
      </c>
      <c r="BE60" s="10">
        <v>161720</v>
      </c>
      <c r="BF60" s="36">
        <v>576</v>
      </c>
      <c r="BG60" s="36">
        <v>4717</v>
      </c>
      <c r="BH60" s="10"/>
      <c r="BI60" s="10"/>
      <c r="BJ60" s="10">
        <v>563501</v>
      </c>
      <c r="BK60" s="10">
        <v>3130077</v>
      </c>
      <c r="BL60" s="10">
        <v>275930</v>
      </c>
      <c r="BM60" s="10">
        <v>1161408</v>
      </c>
      <c r="BN60" s="10">
        <v>5159</v>
      </c>
      <c r="BO60" s="10">
        <v>28449</v>
      </c>
      <c r="BP60" s="82">
        <f t="shared" ref="BP60:BP64" si="12">B60+D60+F60+H60+J60+L60+N60+P60+R60+T60+V60+X60+Z60+AB60+AD60+AF60+AH60+AJ60+AL60+AN60+AP60+AR60+AT60+AV60+AX60+AZ60+BB60+BD60+BF60+BH60+BJ60+BL60+BN60</f>
        <v>3354263.291675</v>
      </c>
      <c r="BQ60" s="82">
        <f t="shared" ref="BQ60:BQ64" si="13">C60+E60+G60+I60+K60+M60+O60+Q60+S60+U60+W60+Y60+AA60+AC60+AE60+AG60+AI60+AK60+AM60+AO60+AQ60+AS60+AU60+AW60+AY60+BA60+BC60+BE60+BG60+BI60+BK60+BM60+BO60</f>
        <v>15076727.755375</v>
      </c>
    </row>
    <row r="61" spans="1:69" x14ac:dyDescent="0.25">
      <c r="A61" s="10" t="s">
        <v>286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>
        <v>7412</v>
      </c>
      <c r="M61" s="10">
        <v>11557</v>
      </c>
      <c r="N61" s="10"/>
      <c r="O61" s="10">
        <v>10063</v>
      </c>
      <c r="P61" s="10"/>
      <c r="Q61" s="10"/>
      <c r="R61" s="10"/>
      <c r="S61" s="10"/>
      <c r="T61" s="10"/>
      <c r="U61" s="10"/>
      <c r="V61" s="10">
        <v>580</v>
      </c>
      <c r="W61" s="10">
        <v>19130</v>
      </c>
      <c r="X61" s="10"/>
      <c r="Y61" s="10"/>
      <c r="Z61" s="10">
        <v>1833</v>
      </c>
      <c r="AA61" s="10">
        <v>3389</v>
      </c>
      <c r="AB61" s="10"/>
      <c r="AC61" s="10"/>
      <c r="AD61" s="10">
        <v>16290</v>
      </c>
      <c r="AE61" s="10">
        <v>45768</v>
      </c>
      <c r="AF61" s="10"/>
      <c r="AG61" s="10"/>
      <c r="AH61" s="10">
        <v>600</v>
      </c>
      <c r="AI61" s="10">
        <v>4429</v>
      </c>
      <c r="AJ61" s="10"/>
      <c r="AK61" s="10"/>
      <c r="AL61" s="10"/>
      <c r="AM61" s="10"/>
      <c r="AN61" s="10"/>
      <c r="AO61" s="10"/>
      <c r="AP61" s="10">
        <v>0</v>
      </c>
      <c r="AQ61" s="10">
        <v>67762.895999999993</v>
      </c>
      <c r="AR61" s="36">
        <v>9999</v>
      </c>
      <c r="AS61" s="36">
        <v>216454</v>
      </c>
      <c r="AT61" s="10">
        <v>3063</v>
      </c>
      <c r="AU61" s="10">
        <v>64243</v>
      </c>
      <c r="AV61" s="10">
        <v>1241</v>
      </c>
      <c r="AW61" s="10">
        <v>29692</v>
      </c>
      <c r="AX61" s="10"/>
      <c r="AY61" s="10">
        <v>13574</v>
      </c>
      <c r="AZ61" s="10"/>
      <c r="BA61" s="10"/>
      <c r="BB61" s="10"/>
      <c r="BC61" s="10"/>
      <c r="BD61" s="10">
        <v>2668</v>
      </c>
      <c r="BE61" s="10">
        <v>30640</v>
      </c>
      <c r="BF61" s="10"/>
      <c r="BG61" s="10"/>
      <c r="BH61" s="10"/>
      <c r="BI61" s="10"/>
      <c r="BJ61" s="10">
        <v>38986</v>
      </c>
      <c r="BK61" s="10">
        <v>326359</v>
      </c>
      <c r="BL61" s="10">
        <v>4837</v>
      </c>
      <c r="BM61" s="10">
        <v>143003</v>
      </c>
      <c r="BN61" s="10"/>
      <c r="BO61" s="10"/>
      <c r="BP61" s="82">
        <f t="shared" si="12"/>
        <v>87509</v>
      </c>
      <c r="BQ61" s="82">
        <f t="shared" si="13"/>
        <v>986063.89599999995</v>
      </c>
    </row>
    <row r="62" spans="1:69" x14ac:dyDescent="0.25">
      <c r="A62" s="10" t="s">
        <v>287</v>
      </c>
      <c r="B62" s="10">
        <v>44142</v>
      </c>
      <c r="C62" s="10">
        <v>365723</v>
      </c>
      <c r="D62" s="10"/>
      <c r="E62" s="10"/>
      <c r="F62" s="10"/>
      <c r="G62" s="10"/>
      <c r="H62" s="10"/>
      <c r="I62" s="10"/>
      <c r="J62" s="10">
        <v>53433</v>
      </c>
      <c r="K62" s="10">
        <v>294982</v>
      </c>
      <c r="L62" s="10">
        <v>59056</v>
      </c>
      <c r="M62" s="10">
        <v>171845</v>
      </c>
      <c r="N62" s="10">
        <v>19803</v>
      </c>
      <c r="O62" s="10">
        <v>50185</v>
      </c>
      <c r="P62" s="10"/>
      <c r="Q62" s="10"/>
      <c r="R62" s="10"/>
      <c r="S62" s="10"/>
      <c r="T62" s="10"/>
      <c r="U62" s="10"/>
      <c r="V62" s="10">
        <v>29784</v>
      </c>
      <c r="W62" s="10">
        <v>132621</v>
      </c>
      <c r="X62" s="10"/>
      <c r="Y62" s="10"/>
      <c r="Z62" s="10">
        <v>-14654</v>
      </c>
      <c r="AA62" s="10">
        <v>-22181</v>
      </c>
      <c r="AB62" s="10">
        <v>43424</v>
      </c>
      <c r="AC62" s="10">
        <v>292077</v>
      </c>
      <c r="AD62" s="10">
        <v>36706</v>
      </c>
      <c r="AE62" s="10">
        <v>149978</v>
      </c>
      <c r="AF62" s="10"/>
      <c r="AG62" s="10"/>
      <c r="AH62" s="10">
        <v>8633</v>
      </c>
      <c r="AI62" s="10">
        <v>26471</v>
      </c>
      <c r="AJ62" s="10">
        <v>-11</v>
      </c>
      <c r="AK62" s="10">
        <v>-316</v>
      </c>
      <c r="AL62" s="10"/>
      <c r="AM62" s="10"/>
      <c r="AN62" s="10"/>
      <c r="AO62" s="10"/>
      <c r="AP62" s="10">
        <v>-95999.710665000006</v>
      </c>
      <c r="AQ62" s="10">
        <v>30940.641875000001</v>
      </c>
      <c r="AR62" s="36">
        <v>573070</v>
      </c>
      <c r="AS62" s="36">
        <v>1959669</v>
      </c>
      <c r="AT62" s="10">
        <v>32899</v>
      </c>
      <c r="AU62" s="10">
        <v>264541</v>
      </c>
      <c r="AV62" s="10">
        <v>4683</v>
      </c>
      <c r="AW62" s="10">
        <v>24097</v>
      </c>
      <c r="AX62" s="10">
        <v>12907</v>
      </c>
      <c r="AY62" s="10">
        <v>129635</v>
      </c>
      <c r="AZ62" s="10"/>
      <c r="BA62" s="10"/>
      <c r="BB62" s="10">
        <v>-16341</v>
      </c>
      <c r="BC62" s="10">
        <v>-38380</v>
      </c>
      <c r="BD62" s="10">
        <v>31755</v>
      </c>
      <c r="BE62" s="10">
        <v>136933</v>
      </c>
      <c r="BF62" s="36">
        <v>662</v>
      </c>
      <c r="BG62" s="36">
        <v>1922</v>
      </c>
      <c r="BH62" s="10"/>
      <c r="BI62" s="10"/>
      <c r="BJ62" s="10">
        <v>452384</v>
      </c>
      <c r="BK62" s="10">
        <v>2628778</v>
      </c>
      <c r="BL62" s="10">
        <v>67464</v>
      </c>
      <c r="BM62" s="10">
        <v>451377</v>
      </c>
      <c r="BN62" s="10">
        <v>3354</v>
      </c>
      <c r="BO62" s="10">
        <v>14573</v>
      </c>
      <c r="BP62" s="82">
        <f t="shared" si="12"/>
        <v>1347153.2893349999</v>
      </c>
      <c r="BQ62" s="82">
        <f t="shared" si="13"/>
        <v>7065470.6418749997</v>
      </c>
    </row>
    <row r="63" spans="1:69" x14ac:dyDescent="0.25">
      <c r="A63" s="10" t="s">
        <v>241</v>
      </c>
      <c r="B63" s="10">
        <v>25102</v>
      </c>
      <c r="C63" s="10">
        <v>211544</v>
      </c>
      <c r="D63" s="10"/>
      <c r="E63" s="10"/>
      <c r="F63" s="10"/>
      <c r="G63" s="10"/>
      <c r="H63" s="10"/>
      <c r="I63" s="10"/>
      <c r="J63" s="10">
        <v>24165</v>
      </c>
      <c r="K63" s="10">
        <v>132844</v>
      </c>
      <c r="L63" s="10">
        <v>27068</v>
      </c>
      <c r="M63" s="10">
        <v>176251</v>
      </c>
      <c r="N63" s="10">
        <v>10607</v>
      </c>
      <c r="O63" s="10">
        <v>60452</v>
      </c>
      <c r="P63" s="10"/>
      <c r="Q63" s="10"/>
      <c r="R63" s="10"/>
      <c r="S63" s="10"/>
      <c r="T63" s="10"/>
      <c r="U63" s="10"/>
      <c r="V63" s="10">
        <v>22695</v>
      </c>
      <c r="W63" s="10">
        <v>80925</v>
      </c>
      <c r="X63" s="10"/>
      <c r="Y63" s="10"/>
      <c r="Z63" s="10">
        <v>4444</v>
      </c>
      <c r="AA63" s="10">
        <v>17320</v>
      </c>
      <c r="AB63" s="10">
        <v>28063</v>
      </c>
      <c r="AC63" s="10">
        <v>238549</v>
      </c>
      <c r="AD63" s="10">
        <v>49017</v>
      </c>
      <c r="AE63" s="10">
        <v>252665</v>
      </c>
      <c r="AF63" s="10"/>
      <c r="AG63" s="10"/>
      <c r="AH63" s="10">
        <v>25817</v>
      </c>
      <c r="AI63" s="10">
        <v>91918</v>
      </c>
      <c r="AJ63" s="10">
        <v>42</v>
      </c>
      <c r="AK63" s="10">
        <v>94</v>
      </c>
      <c r="AL63" s="10"/>
      <c r="AM63" s="10"/>
      <c r="AN63" s="10"/>
      <c r="AO63" s="10"/>
      <c r="AP63" s="10">
        <v>208764.00234000001</v>
      </c>
      <c r="AQ63" s="10">
        <v>655220.00949999993</v>
      </c>
      <c r="AR63" s="36">
        <v>1012947</v>
      </c>
      <c r="AS63" s="36">
        <v>4357040</v>
      </c>
      <c r="AT63" s="10">
        <v>160728</v>
      </c>
      <c r="AU63" s="10">
        <v>577740</v>
      </c>
      <c r="AV63" s="10">
        <v>12785</v>
      </c>
      <c r="AW63" s="10">
        <v>66714</v>
      </c>
      <c r="AX63" s="10">
        <v>35738</v>
      </c>
      <c r="AY63" s="10">
        <v>171062</v>
      </c>
      <c r="AZ63" s="10"/>
      <c r="BA63" s="10"/>
      <c r="BB63" s="10">
        <v>6936</v>
      </c>
      <c r="BC63" s="10">
        <v>32441</v>
      </c>
      <c r="BD63" s="10">
        <v>12564</v>
      </c>
      <c r="BE63" s="10">
        <v>55427</v>
      </c>
      <c r="BF63" s="10">
        <v>-86</v>
      </c>
      <c r="BG63" s="36">
        <v>2795</v>
      </c>
      <c r="BH63" s="10"/>
      <c r="BI63" s="10"/>
      <c r="BJ63" s="10">
        <v>150103</v>
      </c>
      <c r="BK63" s="10">
        <v>827658</v>
      </c>
      <c r="BL63" s="10">
        <v>213303</v>
      </c>
      <c r="BM63" s="10">
        <v>853034</v>
      </c>
      <c r="BN63" s="10">
        <v>1805</v>
      </c>
      <c r="BO63" s="10">
        <v>13876</v>
      </c>
      <c r="BP63" s="82">
        <f t="shared" si="12"/>
        <v>2032607.0023400001</v>
      </c>
      <c r="BQ63" s="82">
        <f t="shared" si="13"/>
        <v>8875569.0095000006</v>
      </c>
    </row>
    <row r="64" spans="1:69" x14ac:dyDescent="0.25">
      <c r="A64" s="10" t="s">
        <v>242</v>
      </c>
      <c r="B64" s="10">
        <v>39206</v>
      </c>
      <c r="C64" s="10">
        <v>147705</v>
      </c>
      <c r="D64" s="10"/>
      <c r="E64" s="10"/>
      <c r="F64" s="10"/>
      <c r="G64" s="10"/>
      <c r="H64" s="10"/>
      <c r="I64" s="10"/>
      <c r="J64" s="10">
        <v>34345</v>
      </c>
      <c r="K64" s="10">
        <v>134789</v>
      </c>
      <c r="L64" s="10">
        <v>37289</v>
      </c>
      <c r="M64" s="10">
        <v>168290</v>
      </c>
      <c r="N64" s="10">
        <v>13557</v>
      </c>
      <c r="O64" s="10">
        <v>66639</v>
      </c>
      <c r="P64" s="10"/>
      <c r="Q64" s="10"/>
      <c r="R64" s="10"/>
      <c r="S64" s="10"/>
      <c r="T64" s="10"/>
      <c r="U64" s="10"/>
      <c r="V64" s="10">
        <v>19732</v>
      </c>
      <c r="W64" s="10">
        <v>73646</v>
      </c>
      <c r="X64" s="10"/>
      <c r="Y64" s="10"/>
      <c r="Z64" s="10">
        <v>4192</v>
      </c>
      <c r="AA64" s="10">
        <v>17303</v>
      </c>
      <c r="AB64" s="10">
        <v>38536</v>
      </c>
      <c r="AC64" s="10">
        <v>200656</v>
      </c>
      <c r="AD64" s="10">
        <v>68966</v>
      </c>
      <c r="AE64" s="10">
        <v>244792</v>
      </c>
      <c r="AF64" s="10"/>
      <c r="AG64" s="10"/>
      <c r="AH64" s="10">
        <v>15421</v>
      </c>
      <c r="AI64" s="10">
        <v>68992</v>
      </c>
      <c r="AJ64" s="10">
        <v>70</v>
      </c>
      <c r="AK64" s="10">
        <v>134</v>
      </c>
      <c r="AL64" s="10"/>
      <c r="AM64" s="10"/>
      <c r="AN64" s="10"/>
      <c r="AO64" s="10"/>
      <c r="AP64" s="10">
        <v>181734.25834</v>
      </c>
      <c r="AQ64" s="10">
        <v>609229.22549999994</v>
      </c>
      <c r="AR64" s="36">
        <v>1096358</v>
      </c>
      <c r="AS64" s="36">
        <v>4300372</v>
      </c>
      <c r="AT64" s="10">
        <v>205704</v>
      </c>
      <c r="AU64" s="10">
        <v>592988</v>
      </c>
      <c r="AV64" s="10">
        <v>14195</v>
      </c>
      <c r="AW64" s="10">
        <v>51314</v>
      </c>
      <c r="AX64" s="10">
        <v>56949</v>
      </c>
      <c r="AY64" s="10">
        <v>155737</v>
      </c>
      <c r="AZ64" s="10"/>
      <c r="BA64" s="10"/>
      <c r="BB64" s="10">
        <v>8026</v>
      </c>
      <c r="BC64" s="10">
        <v>32415</v>
      </c>
      <c r="BD64" s="10">
        <v>14329</v>
      </c>
      <c r="BE64" s="10">
        <v>55399</v>
      </c>
      <c r="BF64" s="36">
        <v>529</v>
      </c>
      <c r="BG64" s="36">
        <v>3062</v>
      </c>
      <c r="BH64" s="10"/>
      <c r="BI64" s="10"/>
      <c r="BJ64" s="10">
        <v>215973</v>
      </c>
      <c r="BK64" s="10">
        <v>1245354</v>
      </c>
      <c r="BL64" s="10">
        <v>199693</v>
      </c>
      <c r="BM64" s="10">
        <v>841779</v>
      </c>
      <c r="BN64" s="10">
        <v>3007</v>
      </c>
      <c r="BO64" s="10">
        <v>12663</v>
      </c>
      <c r="BP64" s="82">
        <f t="shared" si="12"/>
        <v>2267811.2583400002</v>
      </c>
      <c r="BQ64" s="82">
        <f t="shared" si="13"/>
        <v>9023258.2254999988</v>
      </c>
    </row>
    <row r="66" spans="1:69" x14ac:dyDescent="0.25">
      <c r="A66" s="29" t="s">
        <v>235</v>
      </c>
    </row>
    <row r="67" spans="1:69" x14ac:dyDescent="0.25">
      <c r="A67" s="1" t="s">
        <v>0</v>
      </c>
      <c r="B67" s="111" t="s">
        <v>1</v>
      </c>
      <c r="C67" s="112"/>
      <c r="D67" s="111" t="s">
        <v>2</v>
      </c>
      <c r="E67" s="112"/>
      <c r="F67" s="111" t="s">
        <v>3</v>
      </c>
      <c r="G67" s="112"/>
      <c r="H67" s="111" t="s">
        <v>295</v>
      </c>
      <c r="I67" s="112"/>
      <c r="J67" s="111" t="s">
        <v>5</v>
      </c>
      <c r="K67" s="112"/>
      <c r="L67" s="111" t="s">
        <v>6</v>
      </c>
      <c r="M67" s="112"/>
      <c r="N67" s="111" t="s">
        <v>7</v>
      </c>
      <c r="O67" s="112"/>
      <c r="P67" s="111" t="s">
        <v>309</v>
      </c>
      <c r="Q67" s="112"/>
      <c r="R67" s="111" t="s">
        <v>9</v>
      </c>
      <c r="S67" s="112"/>
      <c r="T67" s="111" t="s">
        <v>10</v>
      </c>
      <c r="U67" s="112"/>
      <c r="V67" s="111" t="s">
        <v>11</v>
      </c>
      <c r="W67" s="112"/>
      <c r="X67" s="111" t="s">
        <v>12</v>
      </c>
      <c r="Y67" s="112"/>
      <c r="Z67" s="111" t="s">
        <v>13</v>
      </c>
      <c r="AA67" s="112"/>
      <c r="AB67" s="111" t="s">
        <v>14</v>
      </c>
      <c r="AC67" s="112"/>
      <c r="AD67" s="111" t="s">
        <v>15</v>
      </c>
      <c r="AE67" s="112"/>
      <c r="AF67" s="111" t="s">
        <v>16</v>
      </c>
      <c r="AG67" s="112"/>
      <c r="AH67" s="111" t="s">
        <v>17</v>
      </c>
      <c r="AI67" s="112"/>
      <c r="AJ67" s="111" t="s">
        <v>18</v>
      </c>
      <c r="AK67" s="112"/>
      <c r="AL67" s="111" t="s">
        <v>293</v>
      </c>
      <c r="AM67" s="112"/>
      <c r="AN67" s="111" t="s">
        <v>19</v>
      </c>
      <c r="AO67" s="112"/>
      <c r="AP67" s="111" t="s">
        <v>20</v>
      </c>
      <c r="AQ67" s="112"/>
      <c r="AR67" s="111" t="s">
        <v>21</v>
      </c>
      <c r="AS67" s="112"/>
      <c r="AT67" s="111" t="s">
        <v>22</v>
      </c>
      <c r="AU67" s="112"/>
      <c r="AV67" s="111" t="s">
        <v>23</v>
      </c>
      <c r="AW67" s="112"/>
      <c r="AX67" s="111" t="s">
        <v>24</v>
      </c>
      <c r="AY67" s="112"/>
      <c r="AZ67" s="111" t="s">
        <v>25</v>
      </c>
      <c r="BA67" s="112"/>
      <c r="BB67" s="111" t="s">
        <v>26</v>
      </c>
      <c r="BC67" s="112"/>
      <c r="BD67" s="111" t="s">
        <v>27</v>
      </c>
      <c r="BE67" s="112"/>
      <c r="BF67" s="111" t="s">
        <v>28</v>
      </c>
      <c r="BG67" s="112"/>
      <c r="BH67" s="111" t="s">
        <v>29</v>
      </c>
      <c r="BI67" s="112"/>
      <c r="BJ67" s="111" t="s">
        <v>30</v>
      </c>
      <c r="BK67" s="112"/>
      <c r="BL67" s="115" t="s">
        <v>31</v>
      </c>
      <c r="BM67" s="116"/>
      <c r="BN67" s="111" t="s">
        <v>32</v>
      </c>
      <c r="BO67" s="112"/>
      <c r="BP67" s="113" t="s">
        <v>33</v>
      </c>
      <c r="BQ67" s="114"/>
    </row>
    <row r="68" spans="1:69" ht="30" x14ac:dyDescent="0.25">
      <c r="A68" s="1"/>
      <c r="B68" s="66" t="s">
        <v>298</v>
      </c>
      <c r="C68" s="67" t="s">
        <v>299</v>
      </c>
      <c r="D68" s="66" t="s">
        <v>298</v>
      </c>
      <c r="E68" s="67" t="s">
        <v>299</v>
      </c>
      <c r="F68" s="66" t="s">
        <v>298</v>
      </c>
      <c r="G68" s="67" t="s">
        <v>299</v>
      </c>
      <c r="H68" s="66" t="s">
        <v>298</v>
      </c>
      <c r="I68" s="67" t="s">
        <v>299</v>
      </c>
      <c r="J68" s="66" t="s">
        <v>298</v>
      </c>
      <c r="K68" s="67" t="s">
        <v>299</v>
      </c>
      <c r="L68" s="66" t="s">
        <v>298</v>
      </c>
      <c r="M68" s="67" t="s">
        <v>299</v>
      </c>
      <c r="N68" s="66" t="s">
        <v>298</v>
      </c>
      <c r="O68" s="67" t="s">
        <v>299</v>
      </c>
      <c r="P68" s="66" t="s">
        <v>298</v>
      </c>
      <c r="Q68" s="67" t="s">
        <v>299</v>
      </c>
      <c r="R68" s="66" t="s">
        <v>298</v>
      </c>
      <c r="S68" s="67" t="s">
        <v>299</v>
      </c>
      <c r="T68" s="66" t="s">
        <v>298</v>
      </c>
      <c r="U68" s="67" t="s">
        <v>299</v>
      </c>
      <c r="V68" s="66" t="s">
        <v>298</v>
      </c>
      <c r="W68" s="67" t="s">
        <v>299</v>
      </c>
      <c r="X68" s="66" t="s">
        <v>298</v>
      </c>
      <c r="Y68" s="67" t="s">
        <v>299</v>
      </c>
      <c r="Z68" s="66" t="s">
        <v>298</v>
      </c>
      <c r="AA68" s="67" t="s">
        <v>299</v>
      </c>
      <c r="AB68" s="66" t="s">
        <v>298</v>
      </c>
      <c r="AC68" s="67" t="s">
        <v>299</v>
      </c>
      <c r="AD68" s="66" t="s">
        <v>298</v>
      </c>
      <c r="AE68" s="67" t="s">
        <v>299</v>
      </c>
      <c r="AF68" s="66" t="s">
        <v>298</v>
      </c>
      <c r="AG68" s="67" t="s">
        <v>299</v>
      </c>
      <c r="AH68" s="66" t="s">
        <v>298</v>
      </c>
      <c r="AI68" s="67" t="s">
        <v>299</v>
      </c>
      <c r="AJ68" s="66" t="s">
        <v>298</v>
      </c>
      <c r="AK68" s="67" t="s">
        <v>299</v>
      </c>
      <c r="AL68" s="66" t="s">
        <v>298</v>
      </c>
      <c r="AM68" s="67" t="s">
        <v>299</v>
      </c>
      <c r="AN68" s="66" t="s">
        <v>298</v>
      </c>
      <c r="AO68" s="67" t="s">
        <v>299</v>
      </c>
      <c r="AP68" s="66" t="s">
        <v>298</v>
      </c>
      <c r="AQ68" s="67" t="s">
        <v>299</v>
      </c>
      <c r="AR68" s="66" t="s">
        <v>298</v>
      </c>
      <c r="AS68" s="67" t="s">
        <v>299</v>
      </c>
      <c r="AT68" s="66" t="s">
        <v>298</v>
      </c>
      <c r="AU68" s="67" t="s">
        <v>299</v>
      </c>
      <c r="AV68" s="66" t="s">
        <v>298</v>
      </c>
      <c r="AW68" s="67" t="s">
        <v>299</v>
      </c>
      <c r="AX68" s="66" t="s">
        <v>298</v>
      </c>
      <c r="AY68" s="67" t="s">
        <v>299</v>
      </c>
      <c r="AZ68" s="66" t="s">
        <v>298</v>
      </c>
      <c r="BA68" s="67" t="s">
        <v>299</v>
      </c>
      <c r="BB68" s="66" t="s">
        <v>298</v>
      </c>
      <c r="BC68" s="67" t="s">
        <v>299</v>
      </c>
      <c r="BD68" s="66" t="s">
        <v>298</v>
      </c>
      <c r="BE68" s="67" t="s">
        <v>299</v>
      </c>
      <c r="BF68" s="66" t="s">
        <v>298</v>
      </c>
      <c r="BG68" s="67" t="s">
        <v>299</v>
      </c>
      <c r="BH68" s="66" t="s">
        <v>298</v>
      </c>
      <c r="BI68" s="67" t="s">
        <v>299</v>
      </c>
      <c r="BJ68" s="66" t="s">
        <v>298</v>
      </c>
      <c r="BK68" s="67" t="s">
        <v>299</v>
      </c>
      <c r="BL68" s="66" t="s">
        <v>298</v>
      </c>
      <c r="BM68" s="67" t="s">
        <v>299</v>
      </c>
      <c r="BN68" s="66" t="s">
        <v>298</v>
      </c>
      <c r="BO68" s="67" t="s">
        <v>299</v>
      </c>
      <c r="BP68" s="66" t="s">
        <v>298</v>
      </c>
      <c r="BQ68" s="67" t="s">
        <v>299</v>
      </c>
    </row>
    <row r="69" spans="1:69" x14ac:dyDescent="0.25">
      <c r="A69" s="10" t="s">
        <v>283</v>
      </c>
      <c r="B69" s="10"/>
      <c r="C69" s="10"/>
      <c r="D69" s="10"/>
      <c r="E69" s="10"/>
      <c r="F69" s="10"/>
      <c r="G69" s="10"/>
      <c r="H69" s="10"/>
      <c r="I69" s="10"/>
      <c r="J69" s="10">
        <v>171722</v>
      </c>
      <c r="K69" s="10">
        <v>260480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>
        <v>23341</v>
      </c>
      <c r="W69" s="10">
        <v>23341</v>
      </c>
      <c r="X69" s="10"/>
      <c r="Y69" s="10"/>
      <c r="Z69" s="10">
        <v>21315</v>
      </c>
      <c r="AA69" s="10">
        <v>127101</v>
      </c>
      <c r="AB69" s="10">
        <v>213190</v>
      </c>
      <c r="AC69" s="10">
        <v>854476</v>
      </c>
      <c r="AD69">
        <v>753</v>
      </c>
      <c r="AE69" s="10">
        <v>3142</v>
      </c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>
        <v>393580.4200501598</v>
      </c>
      <c r="AQ69" s="10">
        <v>1152784.8338499998</v>
      </c>
      <c r="AR69" s="36">
        <v>680727</v>
      </c>
      <c r="AS69" s="36">
        <v>2520329</v>
      </c>
      <c r="AT69" s="10">
        <v>332426</v>
      </c>
      <c r="AU69" s="10">
        <v>1024743</v>
      </c>
      <c r="AV69" s="10"/>
      <c r="AW69" s="10"/>
      <c r="AX69" s="10">
        <v>24363</v>
      </c>
      <c r="AY69" s="10">
        <v>186032</v>
      </c>
      <c r="AZ69" s="10"/>
      <c r="BA69" s="10"/>
      <c r="BB69" s="10"/>
      <c r="BC69" s="10"/>
      <c r="BD69" s="10">
        <v>335</v>
      </c>
      <c r="BE69" s="10">
        <v>980</v>
      </c>
      <c r="BF69" s="10"/>
      <c r="BG69" s="10"/>
      <c r="BH69" s="10"/>
      <c r="BI69" s="10"/>
      <c r="BJ69" s="10"/>
      <c r="BK69" s="10"/>
      <c r="BL69" s="10">
        <v>302965</v>
      </c>
      <c r="BM69" s="10">
        <v>823670</v>
      </c>
      <c r="BN69" s="10"/>
      <c r="BO69" s="10"/>
      <c r="BP69" s="82">
        <f t="shared" ref="BP69:BP73" si="14">B69+D69+F69+H69+J69+L69+N69+P69+R69+T69+V69+X69+Z69+AB69+AD69+AF69+AH69+AJ69+AL69+AN69+AP69+AR69+AT69+AV69+AX69+AZ69+BB69+BD69+BF69+BH69+BJ69+BL69+BN69</f>
        <v>2164717.42005016</v>
      </c>
      <c r="BQ69" s="82">
        <f t="shared" ref="BQ69:BQ73" si="15">C69+E69+G69+I69+K69+M69+O69+Q69+S69+U69+W69+Y69+AA69+AC69+AE69+AG69+AI69+AK69+AM69+AO69+AQ69+AS69+AU69+AW69+AY69+BA69+BC69+BE69+BG69+BI69+BK69+BM69+BO69</f>
        <v>6977078.8338500001</v>
      </c>
    </row>
    <row r="70" spans="1:69" x14ac:dyDescent="0.25">
      <c r="A70" s="10" t="s">
        <v>286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>
        <v>30431</v>
      </c>
      <c r="AC70" s="10">
        <v>123095</v>
      </c>
      <c r="AD70" s="10"/>
      <c r="AE70" s="10">
        <v>-307</v>
      </c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>
        <v>245307.71100000001</v>
      </c>
      <c r="AQ70" s="10">
        <v>621739.57900000003</v>
      </c>
      <c r="AR70" s="36">
        <v>466763</v>
      </c>
      <c r="AS70" s="36">
        <v>1524537</v>
      </c>
      <c r="AT70" s="10">
        <v>314823</v>
      </c>
      <c r="AU70" s="10">
        <v>1132242</v>
      </c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>
        <v>106122</v>
      </c>
      <c r="BM70" s="10">
        <v>498145</v>
      </c>
      <c r="BN70" s="10"/>
      <c r="BO70" s="10"/>
      <c r="BP70" s="82">
        <f t="shared" si="14"/>
        <v>1163446.7110000001</v>
      </c>
      <c r="BQ70" s="82">
        <f t="shared" si="15"/>
        <v>3899451.5789999999</v>
      </c>
    </row>
    <row r="71" spans="1:69" x14ac:dyDescent="0.25">
      <c r="A71" s="10" t="s">
        <v>287</v>
      </c>
      <c r="B71" s="10"/>
      <c r="C71" s="10"/>
      <c r="D71" s="10"/>
      <c r="E71" s="10"/>
      <c r="F71" s="10"/>
      <c r="G71" s="10"/>
      <c r="H71" s="10"/>
      <c r="I71" s="10"/>
      <c r="J71" s="10">
        <v>67031</v>
      </c>
      <c r="K71" s="10">
        <v>153160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>
        <v>1167</v>
      </c>
      <c r="W71" s="10">
        <v>1167</v>
      </c>
      <c r="X71" s="10"/>
      <c r="Y71" s="10"/>
      <c r="Z71" s="10">
        <v>-18331</v>
      </c>
      <c r="AA71" s="10">
        <v>-124003</v>
      </c>
      <c r="AB71" s="10">
        <v>146042</v>
      </c>
      <c r="AC71" s="10">
        <v>752267</v>
      </c>
      <c r="AD71" s="10">
        <v>700</v>
      </c>
      <c r="AE71" s="10">
        <v>2046</v>
      </c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>
        <v>443550.22765625</v>
      </c>
      <c r="AQ71" s="10">
        <v>1110869.77265625</v>
      </c>
      <c r="AR71" s="36">
        <v>753064</v>
      </c>
      <c r="AS71" s="36">
        <v>2173499</v>
      </c>
      <c r="AT71" s="10">
        <v>381147</v>
      </c>
      <c r="AU71" s="10">
        <v>1276139</v>
      </c>
      <c r="AV71" s="10"/>
      <c r="AW71" s="10"/>
      <c r="AX71" s="10">
        <v>14610</v>
      </c>
      <c r="AY71" s="10">
        <v>175236</v>
      </c>
      <c r="AZ71" s="10"/>
      <c r="BA71" s="10"/>
      <c r="BB71" s="10"/>
      <c r="BC71" s="10"/>
      <c r="BD71" s="10">
        <v>333</v>
      </c>
      <c r="BE71" s="10">
        <v>974</v>
      </c>
      <c r="BF71" s="10"/>
      <c r="BG71" s="10"/>
      <c r="BH71" s="10"/>
      <c r="BI71" s="10"/>
      <c r="BJ71" s="10"/>
      <c r="BK71" s="10"/>
      <c r="BL71" s="10">
        <v>277976</v>
      </c>
      <c r="BM71" s="10">
        <v>910457</v>
      </c>
      <c r="BN71" s="10"/>
      <c r="BO71" s="10"/>
      <c r="BP71" s="82">
        <f t="shared" si="14"/>
        <v>2067289.2276562499</v>
      </c>
      <c r="BQ71" s="82">
        <f t="shared" si="15"/>
        <v>6431811.7726562498</v>
      </c>
    </row>
    <row r="72" spans="1:69" x14ac:dyDescent="0.25">
      <c r="A72" s="10" t="s">
        <v>241</v>
      </c>
      <c r="B72" s="10"/>
      <c r="C72" s="10"/>
      <c r="D72" s="10"/>
      <c r="E72" s="10"/>
      <c r="F72" s="10"/>
      <c r="G72" s="10"/>
      <c r="H72" s="10"/>
      <c r="I72" s="10"/>
      <c r="J72" s="10">
        <v>104691</v>
      </c>
      <c r="K72" s="10">
        <v>107320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>
        <v>22174</v>
      </c>
      <c r="W72" s="10">
        <v>22174</v>
      </c>
      <c r="X72" s="10"/>
      <c r="Y72" s="10"/>
      <c r="Z72" s="10">
        <v>2984</v>
      </c>
      <c r="AA72" s="10">
        <v>3098</v>
      </c>
      <c r="AB72" s="10">
        <v>97579</v>
      </c>
      <c r="AC72" s="10">
        <v>225304</v>
      </c>
      <c r="AD72" s="10">
        <v>53</v>
      </c>
      <c r="AE72" s="10">
        <v>789</v>
      </c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>
        <v>195337.9033939098</v>
      </c>
      <c r="AQ72" s="10">
        <v>663654.64019374992</v>
      </c>
      <c r="AR72" s="36">
        <v>394427</v>
      </c>
      <c r="AS72" s="36">
        <v>1871366</v>
      </c>
      <c r="AT72" s="10">
        <v>266102</v>
      </c>
      <c r="AU72" s="10">
        <v>880846</v>
      </c>
      <c r="AV72" s="10"/>
      <c r="AW72" s="10"/>
      <c r="AX72" s="10">
        <v>9753</v>
      </c>
      <c r="AY72" s="10">
        <v>10796</v>
      </c>
      <c r="AZ72" s="10"/>
      <c r="BA72" s="10"/>
      <c r="BB72" s="10"/>
      <c r="BC72" s="10"/>
      <c r="BD72" s="10">
        <v>2</v>
      </c>
      <c r="BE72" s="10">
        <v>6</v>
      </c>
      <c r="BF72" s="10"/>
      <c r="BG72" s="10"/>
      <c r="BH72" s="10"/>
      <c r="BI72" s="10"/>
      <c r="BJ72" s="10"/>
      <c r="BK72" s="10"/>
      <c r="BL72" s="10">
        <v>131111</v>
      </c>
      <c r="BM72" s="10">
        <v>411358</v>
      </c>
      <c r="BN72" s="10"/>
      <c r="BO72" s="10"/>
      <c r="BP72" s="82">
        <f t="shared" si="14"/>
        <v>1224213.9033939098</v>
      </c>
      <c r="BQ72" s="82">
        <f t="shared" si="15"/>
        <v>4196711.6401937502</v>
      </c>
    </row>
    <row r="73" spans="1:69" x14ac:dyDescent="0.25">
      <c r="A73" s="10" t="s">
        <v>242</v>
      </c>
      <c r="B73" s="10"/>
      <c r="C73" s="10"/>
      <c r="D73" s="10"/>
      <c r="E73" s="10"/>
      <c r="F73" s="10"/>
      <c r="G73" s="10"/>
      <c r="H73" s="10"/>
      <c r="I73" s="10"/>
      <c r="J73" s="10">
        <v>26104</v>
      </c>
      <c r="K73" s="10">
        <v>99021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>
        <v>5513</v>
      </c>
      <c r="W73" s="10">
        <v>5513</v>
      </c>
      <c r="X73" s="10"/>
      <c r="Y73" s="10"/>
      <c r="Z73" s="10">
        <v>3031</v>
      </c>
      <c r="AA73" s="10">
        <v>3327</v>
      </c>
      <c r="AB73" s="10">
        <v>46572</v>
      </c>
      <c r="AC73" s="10">
        <v>177221</v>
      </c>
      <c r="AD73" s="10">
        <v>73</v>
      </c>
      <c r="AE73" s="10">
        <v>826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343738.02939390979</v>
      </c>
      <c r="AQ73" s="10">
        <v>653785.87219374988</v>
      </c>
      <c r="AR73" s="36">
        <v>359596</v>
      </c>
      <c r="AS73" s="36">
        <v>1654848</v>
      </c>
      <c r="AT73" s="10">
        <v>200063</v>
      </c>
      <c r="AU73" s="10">
        <v>713418</v>
      </c>
      <c r="AV73" s="10"/>
      <c r="AW73" s="10"/>
      <c r="AX73" s="10">
        <v>9621</v>
      </c>
      <c r="AY73" s="10">
        <v>10138</v>
      </c>
      <c r="AZ73" s="10"/>
      <c r="BA73" s="10"/>
      <c r="BB73" s="10"/>
      <c r="BC73" s="10"/>
      <c r="BD73" s="10">
        <v>3</v>
      </c>
      <c r="BE73" s="10">
        <v>5</v>
      </c>
      <c r="BF73" s="10"/>
      <c r="BG73" s="10"/>
      <c r="BH73" s="10"/>
      <c r="BI73" s="10"/>
      <c r="BJ73" s="10"/>
      <c r="BK73" s="10"/>
      <c r="BL73" s="10">
        <v>89718</v>
      </c>
      <c r="BM73" s="10">
        <v>210415</v>
      </c>
      <c r="BN73" s="10"/>
      <c r="BO73" s="10"/>
      <c r="BP73" s="82">
        <f t="shared" si="14"/>
        <v>1084032.0293939097</v>
      </c>
      <c r="BQ73" s="82">
        <f t="shared" si="15"/>
        <v>3528517.87219375</v>
      </c>
    </row>
    <row r="75" spans="1:69" x14ac:dyDescent="0.25">
      <c r="A75" s="29" t="s">
        <v>296</v>
      </c>
    </row>
    <row r="76" spans="1:69" x14ac:dyDescent="0.25">
      <c r="A76" s="1" t="s">
        <v>0</v>
      </c>
      <c r="B76" s="111" t="s">
        <v>1</v>
      </c>
      <c r="C76" s="112"/>
      <c r="D76" s="111" t="s">
        <v>2</v>
      </c>
      <c r="E76" s="112"/>
      <c r="F76" s="111" t="s">
        <v>3</v>
      </c>
      <c r="G76" s="112"/>
      <c r="H76" s="111" t="s">
        <v>295</v>
      </c>
      <c r="I76" s="112"/>
      <c r="J76" s="111" t="s">
        <v>5</v>
      </c>
      <c r="K76" s="112"/>
      <c r="L76" s="111" t="s">
        <v>6</v>
      </c>
      <c r="M76" s="112"/>
      <c r="N76" s="111" t="s">
        <v>7</v>
      </c>
      <c r="O76" s="112"/>
      <c r="P76" s="111" t="s">
        <v>309</v>
      </c>
      <c r="Q76" s="112"/>
      <c r="R76" s="111" t="s">
        <v>9</v>
      </c>
      <c r="S76" s="112"/>
      <c r="T76" s="111" t="s">
        <v>10</v>
      </c>
      <c r="U76" s="112"/>
      <c r="V76" s="111" t="s">
        <v>11</v>
      </c>
      <c r="W76" s="112"/>
      <c r="X76" s="111" t="s">
        <v>12</v>
      </c>
      <c r="Y76" s="112"/>
      <c r="Z76" s="111" t="s">
        <v>13</v>
      </c>
      <c r="AA76" s="112"/>
      <c r="AB76" s="111" t="s">
        <v>14</v>
      </c>
      <c r="AC76" s="112"/>
      <c r="AD76" s="111" t="s">
        <v>15</v>
      </c>
      <c r="AE76" s="112"/>
      <c r="AF76" s="111" t="s">
        <v>16</v>
      </c>
      <c r="AG76" s="112"/>
      <c r="AH76" s="111" t="s">
        <v>17</v>
      </c>
      <c r="AI76" s="112"/>
      <c r="AJ76" s="111" t="s">
        <v>18</v>
      </c>
      <c r="AK76" s="112"/>
      <c r="AL76" s="111" t="s">
        <v>293</v>
      </c>
      <c r="AM76" s="112"/>
      <c r="AN76" s="111" t="s">
        <v>19</v>
      </c>
      <c r="AO76" s="112"/>
      <c r="AP76" s="111" t="s">
        <v>20</v>
      </c>
      <c r="AQ76" s="112"/>
      <c r="AR76" s="111" t="s">
        <v>21</v>
      </c>
      <c r="AS76" s="112"/>
      <c r="AT76" s="111" t="s">
        <v>22</v>
      </c>
      <c r="AU76" s="112"/>
      <c r="AV76" s="111" t="s">
        <v>23</v>
      </c>
      <c r="AW76" s="112"/>
      <c r="AX76" s="111" t="s">
        <v>24</v>
      </c>
      <c r="AY76" s="112"/>
      <c r="AZ76" s="111" t="s">
        <v>25</v>
      </c>
      <c r="BA76" s="112"/>
      <c r="BB76" s="111" t="s">
        <v>26</v>
      </c>
      <c r="BC76" s="112"/>
      <c r="BD76" s="111" t="s">
        <v>27</v>
      </c>
      <c r="BE76" s="112"/>
      <c r="BF76" s="111" t="s">
        <v>28</v>
      </c>
      <c r="BG76" s="112"/>
      <c r="BH76" s="111" t="s">
        <v>29</v>
      </c>
      <c r="BI76" s="112"/>
      <c r="BJ76" s="111" t="s">
        <v>30</v>
      </c>
      <c r="BK76" s="112"/>
      <c r="BL76" s="115" t="s">
        <v>31</v>
      </c>
      <c r="BM76" s="116"/>
      <c r="BN76" s="111" t="s">
        <v>32</v>
      </c>
      <c r="BO76" s="112"/>
      <c r="BP76" s="113" t="s">
        <v>33</v>
      </c>
      <c r="BQ76" s="114"/>
    </row>
    <row r="77" spans="1:69" ht="30" x14ac:dyDescent="0.25">
      <c r="A77" s="1"/>
      <c r="B77" s="66" t="s">
        <v>298</v>
      </c>
      <c r="C77" s="67" t="s">
        <v>299</v>
      </c>
      <c r="D77" s="66" t="s">
        <v>298</v>
      </c>
      <c r="E77" s="67" t="s">
        <v>299</v>
      </c>
      <c r="F77" s="66" t="s">
        <v>298</v>
      </c>
      <c r="G77" s="67" t="s">
        <v>299</v>
      </c>
      <c r="H77" s="66" t="s">
        <v>298</v>
      </c>
      <c r="I77" s="67" t="s">
        <v>299</v>
      </c>
      <c r="J77" s="66" t="s">
        <v>298</v>
      </c>
      <c r="K77" s="67" t="s">
        <v>299</v>
      </c>
      <c r="L77" s="66" t="s">
        <v>298</v>
      </c>
      <c r="M77" s="67" t="s">
        <v>299</v>
      </c>
      <c r="N77" s="66" t="s">
        <v>298</v>
      </c>
      <c r="O77" s="67" t="s">
        <v>299</v>
      </c>
      <c r="P77" s="66" t="s">
        <v>298</v>
      </c>
      <c r="Q77" s="67" t="s">
        <v>299</v>
      </c>
      <c r="R77" s="66" t="s">
        <v>298</v>
      </c>
      <c r="S77" s="67" t="s">
        <v>299</v>
      </c>
      <c r="T77" s="66" t="s">
        <v>298</v>
      </c>
      <c r="U77" s="67" t="s">
        <v>299</v>
      </c>
      <c r="V77" s="66" t="s">
        <v>298</v>
      </c>
      <c r="W77" s="67" t="s">
        <v>299</v>
      </c>
      <c r="X77" s="66" t="s">
        <v>298</v>
      </c>
      <c r="Y77" s="67" t="s">
        <v>299</v>
      </c>
      <c r="Z77" s="66" t="s">
        <v>298</v>
      </c>
      <c r="AA77" s="67" t="s">
        <v>299</v>
      </c>
      <c r="AB77" s="66" t="s">
        <v>298</v>
      </c>
      <c r="AC77" s="67" t="s">
        <v>299</v>
      </c>
      <c r="AD77" s="66" t="s">
        <v>298</v>
      </c>
      <c r="AE77" s="67" t="s">
        <v>299</v>
      </c>
      <c r="AF77" s="66" t="s">
        <v>298</v>
      </c>
      <c r="AG77" s="67" t="s">
        <v>299</v>
      </c>
      <c r="AH77" s="66" t="s">
        <v>298</v>
      </c>
      <c r="AI77" s="67" t="s">
        <v>299</v>
      </c>
      <c r="AJ77" s="66" t="s">
        <v>298</v>
      </c>
      <c r="AK77" s="67" t="s">
        <v>299</v>
      </c>
      <c r="AL77" s="66" t="s">
        <v>298</v>
      </c>
      <c r="AM77" s="67" t="s">
        <v>299</v>
      </c>
      <c r="AN77" s="66" t="s">
        <v>298</v>
      </c>
      <c r="AO77" s="67" t="s">
        <v>299</v>
      </c>
      <c r="AP77" s="66" t="s">
        <v>298</v>
      </c>
      <c r="AQ77" s="67" t="s">
        <v>299</v>
      </c>
      <c r="AR77" s="66" t="s">
        <v>298</v>
      </c>
      <c r="AS77" s="67" t="s">
        <v>299</v>
      </c>
      <c r="AT77" s="66" t="s">
        <v>298</v>
      </c>
      <c r="AU77" s="67" t="s">
        <v>299</v>
      </c>
      <c r="AV77" s="66" t="s">
        <v>298</v>
      </c>
      <c r="AW77" s="67" t="s">
        <v>299</v>
      </c>
      <c r="AX77" s="66" t="s">
        <v>298</v>
      </c>
      <c r="AY77" s="67" t="s">
        <v>299</v>
      </c>
      <c r="AZ77" s="66" t="s">
        <v>298</v>
      </c>
      <c r="BA77" s="67" t="s">
        <v>299</v>
      </c>
      <c r="BB77" s="66" t="s">
        <v>298</v>
      </c>
      <c r="BC77" s="67" t="s">
        <v>299</v>
      </c>
      <c r="BD77" s="66" t="s">
        <v>298</v>
      </c>
      <c r="BE77" s="67" t="s">
        <v>299</v>
      </c>
      <c r="BF77" s="66" t="s">
        <v>298</v>
      </c>
      <c r="BG77" s="67" t="s">
        <v>299</v>
      </c>
      <c r="BH77" s="66" t="s">
        <v>298</v>
      </c>
      <c r="BI77" s="67" t="s">
        <v>299</v>
      </c>
      <c r="BJ77" s="66" t="s">
        <v>298</v>
      </c>
      <c r="BK77" s="67" t="s">
        <v>299</v>
      </c>
      <c r="BL77" s="66" t="s">
        <v>298</v>
      </c>
      <c r="BM77" s="67" t="s">
        <v>299</v>
      </c>
      <c r="BN77" s="66" t="s">
        <v>298</v>
      </c>
      <c r="BO77" s="67" t="s">
        <v>299</v>
      </c>
      <c r="BP77" s="66" t="s">
        <v>298</v>
      </c>
      <c r="BQ77" s="67" t="s">
        <v>299</v>
      </c>
    </row>
    <row r="78" spans="1:69" x14ac:dyDescent="0.25">
      <c r="A78" s="10" t="s">
        <v>283</v>
      </c>
      <c r="B78" s="10"/>
      <c r="C78" s="10"/>
      <c r="D78" s="10"/>
      <c r="E78" s="10"/>
      <c r="F78" s="10"/>
      <c r="G78" s="10"/>
      <c r="H78" s="10"/>
      <c r="I78" s="10"/>
      <c r="J78" s="10">
        <v>2412427</v>
      </c>
      <c r="K78" s="10">
        <v>24813790</v>
      </c>
      <c r="L78" s="10">
        <v>1654374</v>
      </c>
      <c r="M78" s="10">
        <v>8280579</v>
      </c>
      <c r="N78" s="10">
        <v>141233</v>
      </c>
      <c r="O78" s="10">
        <v>193620</v>
      </c>
      <c r="P78" s="10"/>
      <c r="Q78" s="10"/>
      <c r="R78" s="10"/>
      <c r="S78" s="10"/>
      <c r="T78" s="10"/>
      <c r="U78" s="10"/>
      <c r="V78" s="10">
        <v>2836303</v>
      </c>
      <c r="W78" s="10">
        <v>9122470</v>
      </c>
      <c r="X78" s="10"/>
      <c r="Y78" s="10"/>
      <c r="Z78" s="10">
        <v>5312875</v>
      </c>
      <c r="AA78" s="10">
        <v>21631396</v>
      </c>
      <c r="AB78" s="10">
        <v>-633459</v>
      </c>
      <c r="AC78" s="10">
        <v>107115</v>
      </c>
      <c r="AD78" s="10">
        <v>1746211</v>
      </c>
      <c r="AE78" s="10">
        <v>18832567</v>
      </c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>
        <v>7113781.1740000006</v>
      </c>
      <c r="AQ78" s="10">
        <v>20593365.116</v>
      </c>
      <c r="AR78" s="36">
        <v>6611442</v>
      </c>
      <c r="AS78" s="36">
        <v>20226757</v>
      </c>
      <c r="AT78" s="10"/>
      <c r="AU78" s="10"/>
      <c r="AV78" s="10"/>
      <c r="AW78" s="10"/>
      <c r="AX78" s="10">
        <v>3814055</v>
      </c>
      <c r="AY78" s="10">
        <v>17800883</v>
      </c>
      <c r="AZ78" s="10"/>
      <c r="BA78" s="10"/>
      <c r="BB78" s="10">
        <v>1607616</v>
      </c>
      <c r="BC78" s="10">
        <v>7607807</v>
      </c>
      <c r="BD78" s="10">
        <v>3411909</v>
      </c>
      <c r="BE78" s="10">
        <v>22157313</v>
      </c>
      <c r="BF78" s="10"/>
      <c r="BG78" s="10"/>
      <c r="BH78" s="10"/>
      <c r="BI78" s="10"/>
      <c r="BJ78" s="10"/>
      <c r="BK78" s="10"/>
      <c r="BL78" s="10">
        <v>5968039</v>
      </c>
      <c r="BM78" s="10">
        <v>19853310</v>
      </c>
      <c r="BN78" s="10">
        <v>1130012</v>
      </c>
      <c r="BO78" s="10">
        <v>13710224</v>
      </c>
      <c r="BP78" s="82">
        <f t="shared" ref="BP78:BP82" si="16">B78+D78+F78+H78+J78+L78+N78+P78+R78+T78+V78+X78+Z78+AB78+AD78+AF78+AH78+AJ78+AL78+AN78+AP78+AR78+AT78+AV78+AX78+AZ78+BB78+BD78+BF78+BH78+BJ78+BL78+BN78</f>
        <v>43126818.174000002</v>
      </c>
      <c r="BQ78" s="82">
        <f t="shared" ref="BQ78:BQ82" si="17">C78+E78+G78+I78+K78+M78+O78+Q78+S78+U78+W78+Y78+AA78+AC78+AE78+AG78+AI78+AK78+AM78+AO78+AQ78+AS78+AU78+AW78+AY78+BA78+BC78+BE78+BG78+BI78+BK78+BM78+BO78</f>
        <v>204931196.116</v>
      </c>
    </row>
    <row r="79" spans="1:69" x14ac:dyDescent="0.25">
      <c r="A79" s="10" t="s">
        <v>286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>
        <v>237020</v>
      </c>
      <c r="Y79" s="10">
        <v>583581</v>
      </c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>
        <v>0</v>
      </c>
      <c r="AQ79" s="10">
        <v>0</v>
      </c>
      <c r="AR79" s="10"/>
      <c r="AS79" s="36">
        <v>11391</v>
      </c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82">
        <f t="shared" si="16"/>
        <v>237020</v>
      </c>
      <c r="BQ79" s="82">
        <f t="shared" si="17"/>
        <v>594972</v>
      </c>
    </row>
    <row r="80" spans="1:69" x14ac:dyDescent="0.25">
      <c r="A80" s="10" t="s">
        <v>287</v>
      </c>
      <c r="B80" s="10"/>
      <c r="C80" s="10"/>
      <c r="D80" s="10"/>
      <c r="E80" s="10"/>
      <c r="F80" s="10"/>
      <c r="G80" s="10"/>
      <c r="H80" s="10"/>
      <c r="I80" s="10"/>
      <c r="J80" s="10">
        <v>1965594</v>
      </c>
      <c r="K80" s="10">
        <v>19588855</v>
      </c>
      <c r="L80" s="10">
        <v>1370685</v>
      </c>
      <c r="M80" s="10">
        <v>6862465</v>
      </c>
      <c r="N80" s="10">
        <v>122366</v>
      </c>
      <c r="O80" s="10">
        <v>168631</v>
      </c>
      <c r="P80" s="10"/>
      <c r="Q80" s="10"/>
      <c r="R80" s="10"/>
      <c r="S80" s="10"/>
      <c r="T80" s="10"/>
      <c r="U80" s="10"/>
      <c r="V80" s="10">
        <v>2280787</v>
      </c>
      <c r="W80" s="10">
        <v>7293797</v>
      </c>
      <c r="X80" s="10">
        <v>108913</v>
      </c>
      <c r="Y80" s="10">
        <v>268755</v>
      </c>
      <c r="Z80" s="10">
        <v>-4443774</v>
      </c>
      <c r="AA80" s="10">
        <v>-17829996</v>
      </c>
      <c r="AB80" s="10">
        <v>-490151</v>
      </c>
      <c r="AC80" s="10">
        <v>89812</v>
      </c>
      <c r="AD80" s="10">
        <v>1339751</v>
      </c>
      <c r="AE80" s="10">
        <v>14810364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>
        <v>4842913.061900001</v>
      </c>
      <c r="AQ80" s="10">
        <v>15152456.028000001</v>
      </c>
      <c r="AR80" s="36">
        <v>4831657</v>
      </c>
      <c r="AS80" s="36">
        <v>15692031</v>
      </c>
      <c r="AT80" s="10"/>
      <c r="AU80" s="10"/>
      <c r="AV80" s="10"/>
      <c r="AW80" s="10"/>
      <c r="AX80" s="10">
        <v>2978007</v>
      </c>
      <c r="AY80" s="10">
        <v>13973670</v>
      </c>
      <c r="AZ80" s="10"/>
      <c r="BA80" s="10"/>
      <c r="BB80" s="10">
        <v>-1129399</v>
      </c>
      <c r="BC80" s="10">
        <v>-6071200</v>
      </c>
      <c r="BD80" s="10">
        <v>2586925</v>
      </c>
      <c r="BE80" s="10">
        <v>16136396</v>
      </c>
      <c r="BF80" s="10"/>
      <c r="BG80" s="10"/>
      <c r="BH80" s="10"/>
      <c r="BI80" s="10"/>
      <c r="BJ80" s="10"/>
      <c r="BK80" s="10"/>
      <c r="BL80" s="10">
        <v>4820036</v>
      </c>
      <c r="BM80" s="10">
        <v>16438604</v>
      </c>
      <c r="BN80" s="10">
        <v>788021</v>
      </c>
      <c r="BO80" s="10">
        <v>11326311</v>
      </c>
      <c r="BP80" s="82">
        <f t="shared" si="16"/>
        <v>21972331.061900001</v>
      </c>
      <c r="BQ80" s="82">
        <f t="shared" si="17"/>
        <v>113900951.028</v>
      </c>
    </row>
    <row r="81" spans="1:69" x14ac:dyDescent="0.25">
      <c r="A81" s="10" t="s">
        <v>241</v>
      </c>
      <c r="B81" s="10"/>
      <c r="C81" s="10"/>
      <c r="D81" s="10"/>
      <c r="E81" s="10"/>
      <c r="F81" s="10"/>
      <c r="G81" s="10"/>
      <c r="H81" s="10"/>
      <c r="I81" s="10"/>
      <c r="J81" s="10">
        <v>446833</v>
      </c>
      <c r="K81" s="10">
        <v>5224935</v>
      </c>
      <c r="L81" s="10">
        <v>283690</v>
      </c>
      <c r="M81" s="10">
        <v>1418114</v>
      </c>
      <c r="N81" s="10">
        <v>18867</v>
      </c>
      <c r="O81" s="10">
        <v>24989</v>
      </c>
      <c r="P81" s="10"/>
      <c r="Q81" s="10"/>
      <c r="R81" s="10"/>
      <c r="S81" s="10"/>
      <c r="T81" s="10"/>
      <c r="U81" s="10"/>
      <c r="V81" s="10">
        <v>555516</v>
      </c>
      <c r="W81" s="10">
        <v>1828673</v>
      </c>
      <c r="X81" s="10">
        <v>128108</v>
      </c>
      <c r="Y81" s="10">
        <v>314826</v>
      </c>
      <c r="Z81" s="10">
        <v>869100</v>
      </c>
      <c r="AA81" s="10">
        <v>3801400</v>
      </c>
      <c r="AB81" s="10">
        <v>-143308</v>
      </c>
      <c r="AC81" s="10">
        <v>17303</v>
      </c>
      <c r="AD81" s="10">
        <v>406460</v>
      </c>
      <c r="AE81" s="10">
        <v>4022203</v>
      </c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>
        <v>2270868.1120999996</v>
      </c>
      <c r="AQ81" s="10">
        <v>5440909.0879999995</v>
      </c>
      <c r="AR81" s="36">
        <v>1779784</v>
      </c>
      <c r="AS81" s="36">
        <v>4546117</v>
      </c>
      <c r="AT81" s="10"/>
      <c r="AU81" s="10"/>
      <c r="AV81" s="10"/>
      <c r="AW81" s="10"/>
      <c r="AX81" s="10">
        <v>836048</v>
      </c>
      <c r="AY81" s="10">
        <v>3827213</v>
      </c>
      <c r="AZ81" s="10"/>
      <c r="BA81" s="10"/>
      <c r="BB81" s="10">
        <v>478217</v>
      </c>
      <c r="BC81" s="10">
        <v>1536607</v>
      </c>
      <c r="BD81" s="10">
        <v>824984</v>
      </c>
      <c r="BE81" s="10">
        <v>6020917</v>
      </c>
      <c r="BF81" s="10"/>
      <c r="BG81" s="10"/>
      <c r="BH81" s="10"/>
      <c r="BI81" s="10"/>
      <c r="BJ81" s="10"/>
      <c r="BK81" s="10"/>
      <c r="BL81" s="10">
        <v>1148003</v>
      </c>
      <c r="BM81" s="10">
        <v>3417072</v>
      </c>
      <c r="BN81" s="10">
        <v>341991</v>
      </c>
      <c r="BO81" s="10">
        <v>2383913</v>
      </c>
      <c r="BP81" s="82">
        <f t="shared" si="16"/>
        <v>10245161.1121</v>
      </c>
      <c r="BQ81" s="82">
        <f t="shared" si="17"/>
        <v>43825191.088</v>
      </c>
    </row>
    <row r="82" spans="1:69" x14ac:dyDescent="0.25">
      <c r="A82" s="10" t="s">
        <v>242</v>
      </c>
      <c r="B82" s="10"/>
      <c r="C82" s="10"/>
      <c r="D82" s="10"/>
      <c r="E82" s="10"/>
      <c r="F82" s="10"/>
      <c r="G82" s="10"/>
      <c r="H82" s="10"/>
      <c r="I82" s="10"/>
      <c r="J82" s="10">
        <v>786396</v>
      </c>
      <c r="K82" s="10">
        <v>5375351</v>
      </c>
      <c r="L82" s="10">
        <v>220896</v>
      </c>
      <c r="M82" s="10">
        <v>1398197</v>
      </c>
      <c r="N82" s="10">
        <v>18866</v>
      </c>
      <c r="O82" s="10">
        <v>93668</v>
      </c>
      <c r="P82" s="10"/>
      <c r="Q82" s="10"/>
      <c r="R82" s="10"/>
      <c r="S82" s="10"/>
      <c r="T82" s="10"/>
      <c r="U82" s="10"/>
      <c r="V82" s="10">
        <v>514168</v>
      </c>
      <c r="W82" s="10">
        <v>1918668</v>
      </c>
      <c r="X82" s="10">
        <v>128108</v>
      </c>
      <c r="Y82" s="10">
        <v>314826</v>
      </c>
      <c r="Z82" s="10">
        <v>679412</v>
      </c>
      <c r="AA82" s="10">
        <v>3783100</v>
      </c>
      <c r="AB82" s="10">
        <v>-143288</v>
      </c>
      <c r="AC82" s="10">
        <v>17303</v>
      </c>
      <c r="AD82" s="10">
        <v>639777</v>
      </c>
      <c r="AE82" s="10">
        <v>3915222</v>
      </c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>
        <v>1496289.289713094</v>
      </c>
      <c r="AQ82" s="10">
        <v>5256343.877688094</v>
      </c>
      <c r="AR82" s="36">
        <v>1782493</v>
      </c>
      <c r="AS82" s="36">
        <v>4546117</v>
      </c>
      <c r="AT82" s="10"/>
      <c r="AU82" s="10"/>
      <c r="AV82" s="10"/>
      <c r="AW82" s="10"/>
      <c r="AX82" s="10">
        <v>1455662</v>
      </c>
      <c r="AY82" s="10">
        <v>3864866</v>
      </c>
      <c r="AZ82" s="10"/>
      <c r="BA82" s="10"/>
      <c r="BB82" s="10">
        <v>475184</v>
      </c>
      <c r="BC82" s="10">
        <v>1538893</v>
      </c>
      <c r="BD82" s="10">
        <v>233594</v>
      </c>
      <c r="BE82" s="10">
        <v>5497680</v>
      </c>
      <c r="BF82" s="10"/>
      <c r="BG82" s="10"/>
      <c r="BH82" s="10"/>
      <c r="BI82" s="10"/>
      <c r="BJ82" s="10"/>
      <c r="BK82" s="10"/>
      <c r="BL82" s="10">
        <v>968510</v>
      </c>
      <c r="BM82" s="10">
        <v>3028766</v>
      </c>
      <c r="BN82" s="10">
        <v>341989</v>
      </c>
      <c r="BO82" s="10">
        <v>2547003</v>
      </c>
      <c r="BP82" s="82">
        <f t="shared" si="16"/>
        <v>9598056.289713094</v>
      </c>
      <c r="BQ82" s="82">
        <f t="shared" si="17"/>
        <v>43096003.877688095</v>
      </c>
    </row>
    <row r="84" spans="1:69" x14ac:dyDescent="0.25">
      <c r="A84" s="29" t="s">
        <v>236</v>
      </c>
    </row>
    <row r="85" spans="1:69" x14ac:dyDescent="0.25">
      <c r="A85" s="1" t="s">
        <v>0</v>
      </c>
      <c r="B85" s="111" t="s">
        <v>1</v>
      </c>
      <c r="C85" s="112"/>
      <c r="D85" s="111" t="s">
        <v>2</v>
      </c>
      <c r="E85" s="112"/>
      <c r="F85" s="111" t="s">
        <v>3</v>
      </c>
      <c r="G85" s="112"/>
      <c r="H85" s="111" t="s">
        <v>295</v>
      </c>
      <c r="I85" s="112"/>
      <c r="J85" s="111" t="s">
        <v>5</v>
      </c>
      <c r="K85" s="112"/>
      <c r="L85" s="111" t="s">
        <v>6</v>
      </c>
      <c r="M85" s="112"/>
      <c r="N85" s="111" t="s">
        <v>7</v>
      </c>
      <c r="O85" s="112"/>
      <c r="P85" s="111" t="s">
        <v>309</v>
      </c>
      <c r="Q85" s="112"/>
      <c r="R85" s="111" t="s">
        <v>9</v>
      </c>
      <c r="S85" s="112"/>
      <c r="T85" s="111" t="s">
        <v>10</v>
      </c>
      <c r="U85" s="112"/>
      <c r="V85" s="111" t="s">
        <v>11</v>
      </c>
      <c r="W85" s="112"/>
      <c r="X85" s="111" t="s">
        <v>12</v>
      </c>
      <c r="Y85" s="112"/>
      <c r="Z85" s="111" t="s">
        <v>13</v>
      </c>
      <c r="AA85" s="112"/>
      <c r="AB85" s="111" t="s">
        <v>14</v>
      </c>
      <c r="AC85" s="112"/>
      <c r="AD85" s="111" t="s">
        <v>15</v>
      </c>
      <c r="AE85" s="112"/>
      <c r="AF85" s="111" t="s">
        <v>16</v>
      </c>
      <c r="AG85" s="112"/>
      <c r="AH85" s="111" t="s">
        <v>17</v>
      </c>
      <c r="AI85" s="112"/>
      <c r="AJ85" s="111" t="s">
        <v>18</v>
      </c>
      <c r="AK85" s="112"/>
      <c r="AL85" s="111" t="s">
        <v>293</v>
      </c>
      <c r="AM85" s="112"/>
      <c r="AN85" s="111" t="s">
        <v>19</v>
      </c>
      <c r="AO85" s="112"/>
      <c r="AP85" s="111" t="s">
        <v>20</v>
      </c>
      <c r="AQ85" s="112"/>
      <c r="AR85" s="111" t="s">
        <v>21</v>
      </c>
      <c r="AS85" s="112"/>
      <c r="AT85" s="111" t="s">
        <v>22</v>
      </c>
      <c r="AU85" s="112"/>
      <c r="AV85" s="111" t="s">
        <v>23</v>
      </c>
      <c r="AW85" s="112"/>
      <c r="AX85" s="111" t="s">
        <v>24</v>
      </c>
      <c r="AY85" s="112"/>
      <c r="AZ85" s="111" t="s">
        <v>25</v>
      </c>
      <c r="BA85" s="112"/>
      <c r="BB85" s="111" t="s">
        <v>26</v>
      </c>
      <c r="BC85" s="112"/>
      <c r="BD85" s="111" t="s">
        <v>27</v>
      </c>
      <c r="BE85" s="112"/>
      <c r="BF85" s="111" t="s">
        <v>28</v>
      </c>
      <c r="BG85" s="112"/>
      <c r="BH85" s="111" t="s">
        <v>29</v>
      </c>
      <c r="BI85" s="112"/>
      <c r="BJ85" s="111" t="s">
        <v>30</v>
      </c>
      <c r="BK85" s="112"/>
      <c r="BL85" s="115" t="s">
        <v>31</v>
      </c>
      <c r="BM85" s="116"/>
      <c r="BN85" s="111" t="s">
        <v>32</v>
      </c>
      <c r="BO85" s="112"/>
      <c r="BP85" s="113" t="s">
        <v>33</v>
      </c>
      <c r="BQ85" s="114"/>
    </row>
    <row r="86" spans="1:69" ht="30" x14ac:dyDescent="0.25">
      <c r="A86" s="1"/>
      <c r="B86" s="66" t="s">
        <v>298</v>
      </c>
      <c r="C86" s="67" t="s">
        <v>299</v>
      </c>
      <c r="D86" s="66" t="s">
        <v>298</v>
      </c>
      <c r="E86" s="67" t="s">
        <v>299</v>
      </c>
      <c r="F86" s="66" t="s">
        <v>298</v>
      </c>
      <c r="G86" s="67" t="s">
        <v>299</v>
      </c>
      <c r="H86" s="66" t="s">
        <v>298</v>
      </c>
      <c r="I86" s="67" t="s">
        <v>299</v>
      </c>
      <c r="J86" s="66" t="s">
        <v>298</v>
      </c>
      <c r="K86" s="67" t="s">
        <v>299</v>
      </c>
      <c r="L86" s="66" t="s">
        <v>298</v>
      </c>
      <c r="M86" s="67" t="s">
        <v>299</v>
      </c>
      <c r="N86" s="66" t="s">
        <v>298</v>
      </c>
      <c r="O86" s="67" t="s">
        <v>299</v>
      </c>
      <c r="P86" s="66" t="s">
        <v>298</v>
      </c>
      <c r="Q86" s="67" t="s">
        <v>299</v>
      </c>
      <c r="R86" s="66" t="s">
        <v>298</v>
      </c>
      <c r="S86" s="67" t="s">
        <v>299</v>
      </c>
      <c r="T86" s="66" t="s">
        <v>298</v>
      </c>
      <c r="U86" s="67" t="s">
        <v>299</v>
      </c>
      <c r="V86" s="66" t="s">
        <v>298</v>
      </c>
      <c r="W86" s="67" t="s">
        <v>299</v>
      </c>
      <c r="X86" s="66" t="s">
        <v>298</v>
      </c>
      <c r="Y86" s="67" t="s">
        <v>299</v>
      </c>
      <c r="Z86" s="66" t="s">
        <v>298</v>
      </c>
      <c r="AA86" s="67" t="s">
        <v>299</v>
      </c>
      <c r="AB86" s="66" t="s">
        <v>298</v>
      </c>
      <c r="AC86" s="67" t="s">
        <v>299</v>
      </c>
      <c r="AD86" s="66" t="s">
        <v>298</v>
      </c>
      <c r="AE86" s="67" t="s">
        <v>299</v>
      </c>
      <c r="AF86" s="66" t="s">
        <v>298</v>
      </c>
      <c r="AG86" s="67" t="s">
        <v>299</v>
      </c>
      <c r="AH86" s="66" t="s">
        <v>298</v>
      </c>
      <c r="AI86" s="67" t="s">
        <v>299</v>
      </c>
      <c r="AJ86" s="66" t="s">
        <v>298</v>
      </c>
      <c r="AK86" s="67" t="s">
        <v>299</v>
      </c>
      <c r="AL86" s="66" t="s">
        <v>298</v>
      </c>
      <c r="AM86" s="67" t="s">
        <v>299</v>
      </c>
      <c r="AN86" s="66" t="s">
        <v>298</v>
      </c>
      <c r="AO86" s="67" t="s">
        <v>299</v>
      </c>
      <c r="AP86" s="66" t="s">
        <v>298</v>
      </c>
      <c r="AQ86" s="67" t="s">
        <v>299</v>
      </c>
      <c r="AR86" s="66" t="s">
        <v>298</v>
      </c>
      <c r="AS86" s="67" t="s">
        <v>299</v>
      </c>
      <c r="AT86" s="66" t="s">
        <v>298</v>
      </c>
      <c r="AU86" s="67" t="s">
        <v>299</v>
      </c>
      <c r="AV86" s="66" t="s">
        <v>298</v>
      </c>
      <c r="AW86" s="67" t="s">
        <v>299</v>
      </c>
      <c r="AX86" s="66" t="s">
        <v>298</v>
      </c>
      <c r="AY86" s="67" t="s">
        <v>299</v>
      </c>
      <c r="AZ86" s="66" t="s">
        <v>298</v>
      </c>
      <c r="BA86" s="67" t="s">
        <v>299</v>
      </c>
      <c r="BB86" s="66" t="s">
        <v>298</v>
      </c>
      <c r="BC86" s="67" t="s">
        <v>299</v>
      </c>
      <c r="BD86" s="66" t="s">
        <v>298</v>
      </c>
      <c r="BE86" s="67" t="s">
        <v>299</v>
      </c>
      <c r="BF86" s="66" t="s">
        <v>298</v>
      </c>
      <c r="BG86" s="67" t="s">
        <v>299</v>
      </c>
      <c r="BH86" s="66" t="s">
        <v>298</v>
      </c>
      <c r="BI86" s="67" t="s">
        <v>299</v>
      </c>
      <c r="BJ86" s="66" t="s">
        <v>298</v>
      </c>
      <c r="BK86" s="67" t="s">
        <v>299</v>
      </c>
      <c r="BL86" s="66" t="s">
        <v>298</v>
      </c>
      <c r="BM86" s="67" t="s">
        <v>299</v>
      </c>
      <c r="BN86" s="66" t="s">
        <v>298</v>
      </c>
      <c r="BO86" s="67" t="s">
        <v>299</v>
      </c>
      <c r="BP86" s="66" t="s">
        <v>298</v>
      </c>
      <c r="BQ86" s="67" t="s">
        <v>299</v>
      </c>
    </row>
    <row r="87" spans="1:69" x14ac:dyDescent="0.25">
      <c r="A87" s="10" t="s">
        <v>283</v>
      </c>
      <c r="B87" s="10">
        <f>B96-B69-B60-B51-B42-B33-B24-B15-B6-B78</f>
        <v>0</v>
      </c>
      <c r="C87" s="10">
        <f>C96-C69-C60-C51-C42-C33-C24-C15-C6-C78</f>
        <v>0</v>
      </c>
      <c r="D87" s="10">
        <f t="shared" ref="D87:BM87" si="18">D96-D69-D60-D51-D42-D33-D24-D15-D6-D78</f>
        <v>0</v>
      </c>
      <c r="E87" s="10">
        <f t="shared" si="18"/>
        <v>0</v>
      </c>
      <c r="F87" s="10">
        <f t="shared" si="18"/>
        <v>16242345</v>
      </c>
      <c r="G87" s="10">
        <f t="shared" si="18"/>
        <v>93612355</v>
      </c>
      <c r="H87" s="10">
        <f t="shared" si="18"/>
        <v>16829</v>
      </c>
      <c r="I87" s="10">
        <f t="shared" si="18"/>
        <v>249995</v>
      </c>
      <c r="J87" s="10">
        <f t="shared" si="18"/>
        <v>2150412</v>
      </c>
      <c r="K87" s="10">
        <f t="shared" si="18"/>
        <v>9692681</v>
      </c>
      <c r="L87" s="10">
        <f t="shared" si="18"/>
        <v>98478</v>
      </c>
      <c r="M87" s="10">
        <f t="shared" si="18"/>
        <v>364731</v>
      </c>
      <c r="N87" s="10">
        <f t="shared" si="18"/>
        <v>130457</v>
      </c>
      <c r="O87" s="10">
        <f t="shared" si="18"/>
        <v>435345</v>
      </c>
      <c r="P87" s="10">
        <f t="shared" si="18"/>
        <v>21907</v>
      </c>
      <c r="Q87" s="10">
        <f t="shared" si="18"/>
        <v>70987</v>
      </c>
      <c r="R87" s="10">
        <f t="shared" si="18"/>
        <v>122</v>
      </c>
      <c r="S87" s="10">
        <f t="shared" si="18"/>
        <v>662</v>
      </c>
      <c r="T87" s="10">
        <f t="shared" si="18"/>
        <v>2653585.92</v>
      </c>
      <c r="U87" s="10">
        <f t="shared" si="18"/>
        <v>10754739.68</v>
      </c>
      <c r="V87" s="10">
        <f t="shared" si="18"/>
        <v>462624</v>
      </c>
      <c r="W87" s="10">
        <f t="shared" si="18"/>
        <v>1941899</v>
      </c>
      <c r="X87" s="10">
        <f t="shared" si="18"/>
        <v>95255</v>
      </c>
      <c r="Y87" s="10">
        <f t="shared" si="18"/>
        <v>226744</v>
      </c>
      <c r="Z87" s="10">
        <f t="shared" si="18"/>
        <v>963996</v>
      </c>
      <c r="AA87" s="10">
        <f t="shared" si="18"/>
        <v>4461391</v>
      </c>
      <c r="AB87" s="10">
        <f t="shared" si="18"/>
        <v>1354649</v>
      </c>
      <c r="AC87" s="10">
        <f t="shared" si="18"/>
        <v>6956184</v>
      </c>
      <c r="AD87" s="10">
        <f t="shared" si="18"/>
        <v>772989</v>
      </c>
      <c r="AE87" s="10">
        <f t="shared" si="18"/>
        <v>3128756</v>
      </c>
      <c r="AF87" s="10">
        <f t="shared" si="18"/>
        <v>33676</v>
      </c>
      <c r="AG87" s="10">
        <f t="shared" si="18"/>
        <v>135710</v>
      </c>
      <c r="AH87" s="10">
        <f t="shared" si="18"/>
        <v>156219</v>
      </c>
      <c r="AI87" s="10">
        <f t="shared" si="18"/>
        <v>672931</v>
      </c>
      <c r="AJ87" s="10">
        <f t="shared" si="18"/>
        <v>212618</v>
      </c>
      <c r="AK87" s="10">
        <f t="shared" si="18"/>
        <v>379843</v>
      </c>
      <c r="AL87" s="10">
        <f t="shared" si="18"/>
        <v>0</v>
      </c>
      <c r="AM87" s="10">
        <f t="shared" si="18"/>
        <v>0</v>
      </c>
      <c r="AN87" s="10">
        <f t="shared" si="18"/>
        <v>0</v>
      </c>
      <c r="AO87" s="10">
        <f t="shared" si="18"/>
        <v>0</v>
      </c>
      <c r="AP87" s="10">
        <f t="shared" si="18"/>
        <v>560767.19303500466</v>
      </c>
      <c r="AQ87" s="10">
        <f t="shared" si="18"/>
        <v>3070744.0261562429</v>
      </c>
      <c r="AR87" s="10">
        <f t="shared" si="18"/>
        <v>2728067</v>
      </c>
      <c r="AS87" s="10">
        <f t="shared" si="18"/>
        <v>10775994</v>
      </c>
      <c r="AT87" s="10">
        <f t="shared" si="18"/>
        <v>5189305</v>
      </c>
      <c r="AU87" s="10">
        <f t="shared" si="18"/>
        <v>25144068</v>
      </c>
      <c r="AV87" s="10">
        <f t="shared" si="18"/>
        <v>98460</v>
      </c>
      <c r="AW87" s="10">
        <f t="shared" si="18"/>
        <v>428006</v>
      </c>
      <c r="AX87" s="10">
        <f t="shared" si="18"/>
        <v>141214</v>
      </c>
      <c r="AY87" s="10">
        <f t="shared" si="18"/>
        <v>762773</v>
      </c>
      <c r="AZ87" s="10">
        <f t="shared" si="18"/>
        <v>0</v>
      </c>
      <c r="BA87" s="10">
        <f t="shared" si="18"/>
        <v>0</v>
      </c>
      <c r="BB87" s="10">
        <f t="shared" si="18"/>
        <v>28294</v>
      </c>
      <c r="BC87" s="10">
        <f t="shared" si="18"/>
        <v>199844</v>
      </c>
      <c r="BD87" s="10">
        <f t="shared" si="18"/>
        <v>458086</v>
      </c>
      <c r="BE87" s="10">
        <f t="shared" si="18"/>
        <v>1595253</v>
      </c>
      <c r="BF87" s="10">
        <f t="shared" si="18"/>
        <v>32161</v>
      </c>
      <c r="BG87" s="10">
        <f t="shared" si="18"/>
        <v>141658</v>
      </c>
      <c r="BH87" s="10">
        <f t="shared" si="18"/>
        <v>25016842</v>
      </c>
      <c r="BI87" s="10">
        <f t="shared" si="18"/>
        <v>68651418</v>
      </c>
      <c r="BJ87" s="10">
        <f t="shared" si="18"/>
        <v>505029</v>
      </c>
      <c r="BK87" s="10">
        <f t="shared" si="18"/>
        <v>5610483</v>
      </c>
      <c r="BL87" s="10">
        <f t="shared" si="18"/>
        <v>1632390</v>
      </c>
      <c r="BM87" s="10">
        <f t="shared" si="18"/>
        <v>6010287</v>
      </c>
      <c r="BN87" s="10">
        <f t="shared" ref="BN87:BO87" si="19">BN96-BN69-BN60-BN51-BN42-BN33-BN24-BN15-BN6-BN78</f>
        <v>167143</v>
      </c>
      <c r="BO87" s="10">
        <f t="shared" si="19"/>
        <v>601943</v>
      </c>
      <c r="BP87" s="82">
        <f t="shared" ref="BP87:BP91" si="20">B87+D87+F87+H87+J87+L87+N87+P87+R87+T87+V87+X87+Z87+AB87+AD87+AF87+AH87+AJ87+AL87+AN87+AP87+AR87+AT87+AV87+AX87+AZ87+BB87+BD87+BF87+BH87+BJ87+BL87+BN87</f>
        <v>61923920.113035008</v>
      </c>
      <c r="BQ87" s="82">
        <f t="shared" ref="BQ87:BQ91" si="21">C87+E87+G87+I87+K87+M87+O87+Q87+S87+U87+W87+Y87+AA87+AC87+AE87+AG87+AI87+AK87+AM87+AO87+AQ87+AS87+AU87+AW87+AY87+BA87+BC87+BE87+BG87+BI87+BK87+BM87+BO87</f>
        <v>256077424.70615625</v>
      </c>
    </row>
    <row r="88" spans="1:69" x14ac:dyDescent="0.25">
      <c r="A88" s="10" t="s">
        <v>286</v>
      </c>
      <c r="B88" s="10">
        <f t="shared" ref="B88:Q91" si="22">B97-B70-B61-B52-B43-B34-B25-B16-B7-B79</f>
        <v>0</v>
      </c>
      <c r="C88" s="10">
        <f t="shared" si="22"/>
        <v>0</v>
      </c>
      <c r="D88" s="10">
        <f t="shared" si="22"/>
        <v>0</v>
      </c>
      <c r="E88" s="10">
        <f t="shared" si="22"/>
        <v>0</v>
      </c>
      <c r="F88" s="10">
        <f t="shared" si="22"/>
        <v>-41</v>
      </c>
      <c r="G88" s="10">
        <f t="shared" si="22"/>
        <v>-256</v>
      </c>
      <c r="H88" s="10">
        <f t="shared" si="22"/>
        <v>0</v>
      </c>
      <c r="I88" s="10">
        <f t="shared" si="22"/>
        <v>0</v>
      </c>
      <c r="J88" s="10">
        <f t="shared" si="22"/>
        <v>-1</v>
      </c>
      <c r="K88" s="10">
        <f t="shared" si="22"/>
        <v>1617</v>
      </c>
      <c r="L88" s="10">
        <f t="shared" si="22"/>
        <v>0</v>
      </c>
      <c r="M88" s="10">
        <f t="shared" si="22"/>
        <v>25</v>
      </c>
      <c r="N88" s="10">
        <f t="shared" si="22"/>
        <v>0</v>
      </c>
      <c r="O88" s="10">
        <f t="shared" si="22"/>
        <v>0</v>
      </c>
      <c r="P88" s="10">
        <f t="shared" si="22"/>
        <v>0</v>
      </c>
      <c r="Q88" s="10">
        <f t="shared" si="22"/>
        <v>0</v>
      </c>
      <c r="R88" s="10">
        <f t="shared" ref="R88:BO88" si="23">R97-R70-R61-R52-R43-R34-R25-R16-R7-R79</f>
        <v>-12</v>
      </c>
      <c r="S88" s="10">
        <f t="shared" si="23"/>
        <v>0</v>
      </c>
      <c r="T88" s="10">
        <f t="shared" si="23"/>
        <v>0</v>
      </c>
      <c r="U88" s="10">
        <f t="shared" si="23"/>
        <v>0</v>
      </c>
      <c r="V88" s="10">
        <f t="shared" si="23"/>
        <v>491</v>
      </c>
      <c r="W88" s="10">
        <f t="shared" si="23"/>
        <v>5218</v>
      </c>
      <c r="X88" s="10">
        <f t="shared" si="23"/>
        <v>3097</v>
      </c>
      <c r="Y88" s="10">
        <f t="shared" si="23"/>
        <v>16662</v>
      </c>
      <c r="Z88" s="10">
        <f t="shared" si="23"/>
        <v>21919</v>
      </c>
      <c r="AA88" s="10">
        <f t="shared" si="23"/>
        <v>205452</v>
      </c>
      <c r="AB88" s="10">
        <f t="shared" si="23"/>
        <v>7920</v>
      </c>
      <c r="AC88" s="10">
        <f t="shared" si="23"/>
        <v>130300</v>
      </c>
      <c r="AD88" s="10">
        <f t="shared" si="23"/>
        <v>4231</v>
      </c>
      <c r="AE88" s="10">
        <f t="shared" si="23"/>
        <v>29166</v>
      </c>
      <c r="AF88" s="10">
        <f t="shared" si="23"/>
        <v>0</v>
      </c>
      <c r="AG88" s="10">
        <f t="shared" si="23"/>
        <v>0</v>
      </c>
      <c r="AH88" s="10">
        <f t="shared" si="23"/>
        <v>-1</v>
      </c>
      <c r="AI88" s="10">
        <f t="shared" si="23"/>
        <v>1</v>
      </c>
      <c r="AJ88" s="10">
        <f t="shared" si="23"/>
        <v>0</v>
      </c>
      <c r="AK88" s="10">
        <f t="shared" si="23"/>
        <v>818</v>
      </c>
      <c r="AL88" s="10">
        <f t="shared" si="23"/>
        <v>0</v>
      </c>
      <c r="AM88" s="10">
        <f t="shared" si="23"/>
        <v>0</v>
      </c>
      <c r="AN88" s="10">
        <f t="shared" si="23"/>
        <v>0</v>
      </c>
      <c r="AO88" s="10">
        <f t="shared" si="23"/>
        <v>0</v>
      </c>
      <c r="AP88" s="10">
        <f t="shared" si="23"/>
        <v>19486.056883232086</v>
      </c>
      <c r="AQ88" s="10">
        <f t="shared" si="23"/>
        <v>44594.599974999903</v>
      </c>
      <c r="AR88" s="10">
        <f t="shared" si="23"/>
        <v>71127</v>
      </c>
      <c r="AS88" s="10">
        <f t="shared" si="23"/>
        <v>123544</v>
      </c>
      <c r="AT88" s="10">
        <f t="shared" si="23"/>
        <v>1408</v>
      </c>
      <c r="AU88" s="10">
        <f t="shared" si="23"/>
        <v>82147</v>
      </c>
      <c r="AV88" s="10">
        <f t="shared" si="23"/>
        <v>26819</v>
      </c>
      <c r="AW88" s="10">
        <f t="shared" si="23"/>
        <v>178483</v>
      </c>
      <c r="AX88" s="10">
        <f t="shared" si="23"/>
        <v>-1</v>
      </c>
      <c r="AY88" s="10">
        <f t="shared" si="23"/>
        <v>124</v>
      </c>
      <c r="AZ88" s="10">
        <f t="shared" si="23"/>
        <v>0</v>
      </c>
      <c r="BA88" s="10">
        <f t="shared" si="23"/>
        <v>0</v>
      </c>
      <c r="BB88" s="10">
        <f t="shared" si="23"/>
        <v>10938</v>
      </c>
      <c r="BC88" s="10">
        <f t="shared" si="23"/>
        <v>19868</v>
      </c>
      <c r="BD88" s="10">
        <f t="shared" si="23"/>
        <v>0</v>
      </c>
      <c r="BE88" s="10">
        <f t="shared" si="23"/>
        <v>0</v>
      </c>
      <c r="BF88" s="10">
        <f t="shared" si="23"/>
        <v>0</v>
      </c>
      <c r="BG88" s="10">
        <f t="shared" si="23"/>
        <v>0</v>
      </c>
      <c r="BH88" s="10">
        <f t="shared" si="23"/>
        <v>0</v>
      </c>
      <c r="BI88" s="10">
        <f t="shared" si="23"/>
        <v>0</v>
      </c>
      <c r="BJ88" s="10">
        <f t="shared" si="23"/>
        <v>0</v>
      </c>
      <c r="BK88" s="10">
        <f t="shared" si="23"/>
        <v>0</v>
      </c>
      <c r="BL88" s="10">
        <f t="shared" si="23"/>
        <v>14946</v>
      </c>
      <c r="BM88" s="10">
        <f t="shared" si="23"/>
        <v>-119003</v>
      </c>
      <c r="BN88" s="10">
        <f>BN97-BN70-BN61-BN52-BN43-BN34-BN25-BN16-BN7-BN79</f>
        <v>0</v>
      </c>
      <c r="BO88" s="10">
        <f t="shared" si="23"/>
        <v>0</v>
      </c>
      <c r="BP88" s="82">
        <f t="shared" si="20"/>
        <v>182326.05688323209</v>
      </c>
      <c r="BQ88" s="82">
        <f t="shared" si="21"/>
        <v>718760.5999749999</v>
      </c>
    </row>
    <row r="89" spans="1:69" x14ac:dyDescent="0.25">
      <c r="A89" s="10" t="s">
        <v>287</v>
      </c>
      <c r="B89" s="10">
        <f t="shared" si="22"/>
        <v>0</v>
      </c>
      <c r="C89" s="10">
        <f t="shared" si="22"/>
        <v>27</v>
      </c>
      <c r="D89" s="10">
        <f t="shared" si="22"/>
        <v>1</v>
      </c>
      <c r="E89" s="10">
        <f t="shared" si="22"/>
        <v>0</v>
      </c>
      <c r="F89" s="10">
        <f t="shared" si="22"/>
        <v>12588477</v>
      </c>
      <c r="G89" s="10">
        <f t="shared" si="22"/>
        <v>72607249</v>
      </c>
      <c r="H89" s="10">
        <f t="shared" si="22"/>
        <v>841</v>
      </c>
      <c r="I89" s="10">
        <f t="shared" si="22"/>
        <v>29940</v>
      </c>
      <c r="J89" s="10">
        <f t="shared" si="22"/>
        <v>1308965</v>
      </c>
      <c r="K89" s="10">
        <f t="shared" si="22"/>
        <v>6648224</v>
      </c>
      <c r="L89" s="10">
        <f t="shared" si="22"/>
        <v>54481</v>
      </c>
      <c r="M89" s="10">
        <f t="shared" si="22"/>
        <v>183224</v>
      </c>
      <c r="N89" s="10">
        <f t="shared" si="22"/>
        <v>9964</v>
      </c>
      <c r="O89" s="10">
        <f t="shared" si="22"/>
        <v>36122</v>
      </c>
      <c r="P89" s="10">
        <f t="shared" si="22"/>
        <v>-3447</v>
      </c>
      <c r="Q89" s="10">
        <f t="shared" si="22"/>
        <v>-11504</v>
      </c>
      <c r="R89" s="10">
        <f t="shared" ref="R89:BO89" si="24">R98-R71-R62-R53-R44-R35-R26-R17-R8-R80</f>
        <v>136</v>
      </c>
      <c r="S89" s="10">
        <f t="shared" si="24"/>
        <v>501</v>
      </c>
      <c r="T89" s="10">
        <f t="shared" si="24"/>
        <v>595815.38</v>
      </c>
      <c r="U89" s="10">
        <f t="shared" si="24"/>
        <v>2831844.44</v>
      </c>
      <c r="V89" s="10">
        <f t="shared" si="24"/>
        <v>33376</v>
      </c>
      <c r="W89" s="10">
        <f t="shared" si="24"/>
        <v>358082</v>
      </c>
      <c r="X89" s="10">
        <f t="shared" si="24"/>
        <v>7285</v>
      </c>
      <c r="Y89" s="10">
        <f t="shared" si="24"/>
        <v>37610</v>
      </c>
      <c r="Z89" s="10">
        <f t="shared" si="24"/>
        <v>-464742</v>
      </c>
      <c r="AA89" s="10">
        <f t="shared" si="24"/>
        <v>-2453065</v>
      </c>
      <c r="AB89" s="10">
        <f t="shared" si="24"/>
        <v>677520</v>
      </c>
      <c r="AC89" s="10">
        <f t="shared" si="24"/>
        <v>4014961</v>
      </c>
      <c r="AD89" s="10">
        <f t="shared" si="24"/>
        <v>415641</v>
      </c>
      <c r="AE89" s="10">
        <f t="shared" si="24"/>
        <v>1739978</v>
      </c>
      <c r="AF89" s="10">
        <f t="shared" si="24"/>
        <v>10501</v>
      </c>
      <c r="AG89" s="10">
        <f t="shared" si="24"/>
        <v>37543</v>
      </c>
      <c r="AH89" s="10">
        <f t="shared" si="24"/>
        <v>76701</v>
      </c>
      <c r="AI89" s="10">
        <f t="shared" si="24"/>
        <v>337340</v>
      </c>
      <c r="AJ89" s="10">
        <f t="shared" si="24"/>
        <v>-202050</v>
      </c>
      <c r="AK89" s="10">
        <f t="shared" si="24"/>
        <v>-355776</v>
      </c>
      <c r="AL89" s="10">
        <f t="shared" si="24"/>
        <v>-1</v>
      </c>
      <c r="AM89" s="10">
        <f t="shared" si="24"/>
        <v>-1</v>
      </c>
      <c r="AN89" s="10">
        <f t="shared" si="24"/>
        <v>0</v>
      </c>
      <c r="AO89" s="10">
        <f t="shared" si="24"/>
        <v>0</v>
      </c>
      <c r="AP89" s="10">
        <f t="shared" si="24"/>
        <v>267072.60345860384</v>
      </c>
      <c r="AQ89" s="10">
        <f t="shared" si="24"/>
        <v>893588.94140625</v>
      </c>
      <c r="AR89" s="10">
        <f t="shared" si="24"/>
        <v>906083</v>
      </c>
      <c r="AS89" s="10">
        <f t="shared" si="24"/>
        <v>2709218</v>
      </c>
      <c r="AT89" s="10">
        <f t="shared" si="24"/>
        <v>2677456</v>
      </c>
      <c r="AU89" s="10">
        <f t="shared" si="24"/>
        <v>16302519</v>
      </c>
      <c r="AV89" s="10">
        <f t="shared" si="24"/>
        <v>35430</v>
      </c>
      <c r="AW89" s="10">
        <f t="shared" si="24"/>
        <v>221974</v>
      </c>
      <c r="AX89" s="10">
        <f t="shared" si="24"/>
        <v>19877</v>
      </c>
      <c r="AY89" s="10">
        <f t="shared" si="24"/>
        <v>190923</v>
      </c>
      <c r="AZ89" s="10">
        <f t="shared" si="24"/>
        <v>0</v>
      </c>
      <c r="BA89" s="10">
        <f t="shared" si="24"/>
        <v>0</v>
      </c>
      <c r="BB89" s="10">
        <f t="shared" si="24"/>
        <v>-17026</v>
      </c>
      <c r="BC89" s="10">
        <f t="shared" si="24"/>
        <v>-105602</v>
      </c>
      <c r="BD89" s="10">
        <f t="shared" si="24"/>
        <v>96998</v>
      </c>
      <c r="BE89" s="10">
        <f t="shared" si="24"/>
        <v>524343</v>
      </c>
      <c r="BF89" s="10">
        <f t="shared" si="24"/>
        <v>6264</v>
      </c>
      <c r="BG89" s="10">
        <f t="shared" si="24"/>
        <v>31124</v>
      </c>
      <c r="BH89" s="10">
        <f t="shared" si="24"/>
        <v>6035149</v>
      </c>
      <c r="BI89" s="10">
        <f t="shared" si="24"/>
        <v>16256672</v>
      </c>
      <c r="BJ89" s="10">
        <f t="shared" si="24"/>
        <v>143418</v>
      </c>
      <c r="BK89" s="10">
        <f t="shared" si="24"/>
        <v>2956455</v>
      </c>
      <c r="BL89" s="10">
        <f t="shared" si="24"/>
        <v>354216</v>
      </c>
      <c r="BM89" s="10">
        <f t="shared" si="24"/>
        <v>1030708</v>
      </c>
      <c r="BN89" s="10">
        <f>BN98-BN71-BN62-BN53-BN44-BN35-BN26-BN17-BN8-BN80</f>
        <v>42031</v>
      </c>
      <c r="BO89" s="10">
        <f t="shared" si="24"/>
        <v>152206</v>
      </c>
      <c r="BP89" s="82">
        <f t="shared" si="20"/>
        <v>25676432.983458605</v>
      </c>
      <c r="BQ89" s="82">
        <f t="shared" si="21"/>
        <v>127206428.38140625</v>
      </c>
    </row>
    <row r="90" spans="1:69" x14ac:dyDescent="0.25">
      <c r="A90" s="10" t="s">
        <v>241</v>
      </c>
      <c r="B90" s="10">
        <f t="shared" si="22"/>
        <v>0</v>
      </c>
      <c r="C90" s="10">
        <f t="shared" si="22"/>
        <v>0</v>
      </c>
      <c r="D90" s="10">
        <f t="shared" si="22"/>
        <v>0</v>
      </c>
      <c r="E90" s="10">
        <f t="shared" si="22"/>
        <v>0</v>
      </c>
      <c r="F90" s="10">
        <f t="shared" si="22"/>
        <v>3653827</v>
      </c>
      <c r="G90" s="10">
        <f t="shared" si="22"/>
        <v>21004850</v>
      </c>
      <c r="H90" s="10">
        <f t="shared" si="22"/>
        <v>15988</v>
      </c>
      <c r="I90" s="10">
        <f t="shared" si="22"/>
        <v>220055</v>
      </c>
      <c r="J90" s="10">
        <f t="shared" si="22"/>
        <v>841446</v>
      </c>
      <c r="K90" s="10">
        <f t="shared" si="22"/>
        <v>3046074</v>
      </c>
      <c r="L90" s="10">
        <f t="shared" si="22"/>
        <v>43996</v>
      </c>
      <c r="M90" s="10">
        <f t="shared" si="22"/>
        <v>181532</v>
      </c>
      <c r="N90" s="10">
        <f t="shared" si="22"/>
        <v>120493</v>
      </c>
      <c r="O90" s="10">
        <f t="shared" si="22"/>
        <v>399223</v>
      </c>
      <c r="P90" s="10">
        <f t="shared" si="22"/>
        <v>18460</v>
      </c>
      <c r="Q90" s="10">
        <f t="shared" si="22"/>
        <v>59483</v>
      </c>
      <c r="R90" s="10">
        <f t="shared" ref="R90:BO90" si="25">R99-R72-R63-R54-R45-R36-R27-R18-R9-R81</f>
        <v>-26</v>
      </c>
      <c r="S90" s="10">
        <f t="shared" si="25"/>
        <v>161</v>
      </c>
      <c r="T90" s="10">
        <f t="shared" si="25"/>
        <v>2057770.54</v>
      </c>
      <c r="U90" s="10">
        <f t="shared" si="25"/>
        <v>7922895.2400000002</v>
      </c>
      <c r="V90" s="10">
        <f t="shared" si="25"/>
        <v>429739</v>
      </c>
      <c r="W90" s="10">
        <f t="shared" si="25"/>
        <v>1589034</v>
      </c>
      <c r="X90" s="10">
        <f t="shared" si="25"/>
        <v>91067</v>
      </c>
      <c r="Y90" s="10">
        <f t="shared" si="25"/>
        <v>205796</v>
      </c>
      <c r="Z90" s="10">
        <f t="shared" si="25"/>
        <v>521174</v>
      </c>
      <c r="AA90" s="10">
        <f t="shared" si="25"/>
        <v>2213778</v>
      </c>
      <c r="AB90" s="10">
        <f t="shared" si="25"/>
        <v>685049</v>
      </c>
      <c r="AC90" s="10">
        <f t="shared" si="25"/>
        <v>3071523</v>
      </c>
      <c r="AD90" s="10">
        <f t="shared" si="25"/>
        <v>361579</v>
      </c>
      <c r="AE90" s="10">
        <f t="shared" si="25"/>
        <v>1417944</v>
      </c>
      <c r="AF90" s="10">
        <f t="shared" si="25"/>
        <v>23175</v>
      </c>
      <c r="AG90" s="10">
        <f t="shared" si="25"/>
        <v>98167</v>
      </c>
      <c r="AH90" s="10">
        <f t="shared" si="25"/>
        <v>79520</v>
      </c>
      <c r="AI90" s="10">
        <f t="shared" si="25"/>
        <v>335588</v>
      </c>
      <c r="AJ90" s="10">
        <f t="shared" si="25"/>
        <v>10568</v>
      </c>
      <c r="AK90" s="10">
        <f t="shared" si="25"/>
        <v>24885</v>
      </c>
      <c r="AL90" s="10">
        <f t="shared" si="25"/>
        <v>-1</v>
      </c>
      <c r="AM90" s="10">
        <f t="shared" si="25"/>
        <v>0</v>
      </c>
      <c r="AN90" s="10">
        <f t="shared" si="25"/>
        <v>0</v>
      </c>
      <c r="AO90" s="10">
        <f t="shared" si="25"/>
        <v>0</v>
      </c>
      <c r="AP90" s="10">
        <f t="shared" si="25"/>
        <v>313180.64645963861</v>
      </c>
      <c r="AQ90" s="10">
        <f t="shared" si="25"/>
        <v>2221749.6847249856</v>
      </c>
      <c r="AR90" s="10">
        <f t="shared" si="25"/>
        <v>1893112</v>
      </c>
      <c r="AS90" s="10">
        <f t="shared" si="25"/>
        <v>8190320</v>
      </c>
      <c r="AT90" s="10">
        <f t="shared" si="25"/>
        <v>2513257</v>
      </c>
      <c r="AU90" s="10">
        <f t="shared" si="25"/>
        <v>8923696</v>
      </c>
      <c r="AV90" s="10">
        <f t="shared" si="25"/>
        <v>89853</v>
      </c>
      <c r="AW90" s="10">
        <f t="shared" si="25"/>
        <v>384515</v>
      </c>
      <c r="AX90" s="10">
        <f t="shared" si="25"/>
        <v>121336</v>
      </c>
      <c r="AY90" s="10">
        <f t="shared" si="25"/>
        <v>571974</v>
      </c>
      <c r="AZ90" s="10">
        <f t="shared" si="25"/>
        <v>0</v>
      </c>
      <c r="BA90" s="10">
        <f t="shared" si="25"/>
        <v>0</v>
      </c>
      <c r="BB90" s="10">
        <f t="shared" si="25"/>
        <v>22206</v>
      </c>
      <c r="BC90" s="10">
        <f t="shared" si="25"/>
        <v>114110</v>
      </c>
      <c r="BD90" s="10">
        <f t="shared" si="25"/>
        <v>361088</v>
      </c>
      <c r="BE90" s="10">
        <f t="shared" si="25"/>
        <v>1070910</v>
      </c>
      <c r="BF90" s="10">
        <f t="shared" si="25"/>
        <v>25899</v>
      </c>
      <c r="BG90" s="10">
        <f t="shared" si="25"/>
        <v>110534</v>
      </c>
      <c r="BH90" s="10">
        <f t="shared" si="25"/>
        <v>18981694</v>
      </c>
      <c r="BI90" s="10">
        <f t="shared" si="25"/>
        <v>52394746</v>
      </c>
      <c r="BJ90" s="10">
        <f t="shared" si="25"/>
        <v>361611</v>
      </c>
      <c r="BK90" s="10">
        <f t="shared" si="25"/>
        <v>2654028</v>
      </c>
      <c r="BL90" s="10">
        <f t="shared" si="25"/>
        <v>1293120</v>
      </c>
      <c r="BM90" s="10">
        <f t="shared" si="25"/>
        <v>4858212</v>
      </c>
      <c r="BN90" s="10">
        <f t="shared" si="25"/>
        <v>125112</v>
      </c>
      <c r="BO90" s="10">
        <f t="shared" si="25"/>
        <v>449737</v>
      </c>
      <c r="BP90" s="82">
        <f t="shared" si="20"/>
        <v>35055293.186459638</v>
      </c>
      <c r="BQ90" s="82">
        <f t="shared" si="21"/>
        <v>123735519.924725</v>
      </c>
    </row>
    <row r="91" spans="1:69" x14ac:dyDescent="0.25">
      <c r="A91" s="10" t="s">
        <v>242</v>
      </c>
      <c r="B91" s="10">
        <f t="shared" si="22"/>
        <v>0</v>
      </c>
      <c r="C91" s="10">
        <f t="shared" si="22"/>
        <v>0</v>
      </c>
      <c r="D91" s="10">
        <f t="shared" si="22"/>
        <v>1</v>
      </c>
      <c r="E91" s="10">
        <f t="shared" si="22"/>
        <v>0</v>
      </c>
      <c r="F91" s="10">
        <f t="shared" si="22"/>
        <v>3509114</v>
      </c>
      <c r="G91" s="10">
        <f t="shared" si="22"/>
        <v>18463089</v>
      </c>
      <c r="H91" s="10">
        <f t="shared" si="22"/>
        <v>18943</v>
      </c>
      <c r="I91" s="10">
        <f t="shared" si="22"/>
        <v>230356</v>
      </c>
      <c r="J91" s="10">
        <f t="shared" si="22"/>
        <v>904539</v>
      </c>
      <c r="K91" s="10">
        <f t="shared" si="22"/>
        <v>3640830</v>
      </c>
      <c r="L91" s="10">
        <f t="shared" si="22"/>
        <v>39586</v>
      </c>
      <c r="M91" s="10">
        <f t="shared" si="22"/>
        <v>144056</v>
      </c>
      <c r="N91" s="10">
        <f t="shared" si="22"/>
        <v>156830</v>
      </c>
      <c r="O91" s="10">
        <f t="shared" si="22"/>
        <v>456338</v>
      </c>
      <c r="P91" s="10">
        <f t="shared" si="22"/>
        <v>9595</v>
      </c>
      <c r="Q91" s="10">
        <f t="shared" si="22"/>
        <v>27781</v>
      </c>
      <c r="R91" s="10">
        <f t="shared" ref="R91:BO91" si="26">R100-R73-R64-R55-R46-R37-R28-R19-R10-R82</f>
        <v>-14</v>
      </c>
      <c r="S91" s="10">
        <f t="shared" si="26"/>
        <v>201</v>
      </c>
      <c r="T91" s="10">
        <f t="shared" si="26"/>
        <v>2353992.14</v>
      </c>
      <c r="U91" s="10">
        <f t="shared" si="26"/>
        <v>8311551.1900000004</v>
      </c>
      <c r="V91" s="10">
        <f t="shared" si="26"/>
        <v>534791</v>
      </c>
      <c r="W91" s="10">
        <f t="shared" si="26"/>
        <v>1427258</v>
      </c>
      <c r="X91" s="10">
        <f t="shared" si="26"/>
        <v>50795</v>
      </c>
      <c r="Y91" s="10">
        <f t="shared" si="26"/>
        <v>160158</v>
      </c>
      <c r="Z91" s="10">
        <f t="shared" si="26"/>
        <v>450140</v>
      </c>
      <c r="AA91" s="10">
        <f t="shared" si="26"/>
        <v>1894557</v>
      </c>
      <c r="AB91" s="10">
        <f t="shared" si="26"/>
        <v>839295</v>
      </c>
      <c r="AC91" s="10">
        <f t="shared" si="26"/>
        <v>3507060</v>
      </c>
      <c r="AD91" s="10">
        <f t="shared" si="26"/>
        <v>368205</v>
      </c>
      <c r="AE91" s="10">
        <f t="shared" si="26"/>
        <v>1346398</v>
      </c>
      <c r="AF91" s="10">
        <f t="shared" si="26"/>
        <v>8913</v>
      </c>
      <c r="AG91" s="10">
        <f t="shared" si="26"/>
        <v>27512</v>
      </c>
      <c r="AH91" s="10">
        <f t="shared" si="26"/>
        <v>67537</v>
      </c>
      <c r="AI91" s="10">
        <f t="shared" si="26"/>
        <v>284219</v>
      </c>
      <c r="AJ91" s="10">
        <f t="shared" si="26"/>
        <v>6449</v>
      </c>
      <c r="AK91" s="10">
        <f t="shared" si="26"/>
        <v>28002</v>
      </c>
      <c r="AL91" s="10">
        <f t="shared" si="26"/>
        <v>-1</v>
      </c>
      <c r="AM91" s="10">
        <f t="shared" si="26"/>
        <v>-1</v>
      </c>
      <c r="AN91" s="10">
        <f t="shared" si="26"/>
        <v>0</v>
      </c>
      <c r="AO91" s="10">
        <f t="shared" si="26"/>
        <v>0</v>
      </c>
      <c r="AP91" s="10">
        <f t="shared" si="26"/>
        <v>821011.25745963491</v>
      </c>
      <c r="AQ91" s="10">
        <f t="shared" si="26"/>
        <v>3149331.5647249827</v>
      </c>
      <c r="AR91" s="10">
        <f t="shared" si="26"/>
        <v>2170163</v>
      </c>
      <c r="AS91" s="10">
        <f t="shared" si="26"/>
        <v>8695703</v>
      </c>
      <c r="AT91" s="10">
        <f t="shared" si="26"/>
        <v>1939905</v>
      </c>
      <c r="AU91" s="10">
        <f t="shared" si="26"/>
        <v>8779448</v>
      </c>
      <c r="AV91" s="10">
        <f t="shared" si="26"/>
        <v>90122</v>
      </c>
      <c r="AW91" s="10">
        <f t="shared" si="26"/>
        <v>329997</v>
      </c>
      <c r="AX91" s="10">
        <f t="shared" si="26"/>
        <v>128829</v>
      </c>
      <c r="AY91" s="10">
        <f t="shared" si="26"/>
        <v>557325</v>
      </c>
      <c r="AZ91" s="10">
        <f t="shared" si="26"/>
        <v>0</v>
      </c>
      <c r="BA91" s="10">
        <f t="shared" si="26"/>
        <v>0</v>
      </c>
      <c r="BB91" s="10">
        <f t="shared" si="26"/>
        <v>28775</v>
      </c>
      <c r="BC91" s="10">
        <f t="shared" si="26"/>
        <v>120553</v>
      </c>
      <c r="BD91" s="10">
        <f t="shared" si="26"/>
        <v>285013</v>
      </c>
      <c r="BE91" s="10">
        <f t="shared" si="26"/>
        <v>1106102</v>
      </c>
      <c r="BF91" s="10">
        <f t="shared" si="26"/>
        <v>30543</v>
      </c>
      <c r="BG91" s="10">
        <f t="shared" si="26"/>
        <v>121329</v>
      </c>
      <c r="BH91" s="10">
        <f t="shared" si="26"/>
        <v>17489714</v>
      </c>
      <c r="BI91" s="10">
        <f t="shared" si="26"/>
        <v>46840921</v>
      </c>
      <c r="BJ91" s="10">
        <f t="shared" si="26"/>
        <v>301888</v>
      </c>
      <c r="BK91" s="10">
        <f t="shared" si="26"/>
        <v>2579444</v>
      </c>
      <c r="BL91" s="10">
        <f t="shared" si="26"/>
        <v>1457221</v>
      </c>
      <c r="BM91" s="10">
        <f t="shared" si="26"/>
        <v>5219995</v>
      </c>
      <c r="BN91" s="10">
        <f t="shared" si="26"/>
        <v>126781</v>
      </c>
      <c r="BO91" s="10">
        <f t="shared" si="26"/>
        <v>530347</v>
      </c>
      <c r="BP91" s="82">
        <f t="shared" si="20"/>
        <v>34188675.397459634</v>
      </c>
      <c r="BQ91" s="82">
        <f t="shared" si="21"/>
        <v>117979860.75472498</v>
      </c>
    </row>
    <row r="93" spans="1:69" x14ac:dyDescent="0.25">
      <c r="A93" s="29" t="s">
        <v>54</v>
      </c>
    </row>
    <row r="94" spans="1:69" x14ac:dyDescent="0.25">
      <c r="A94" s="1" t="s">
        <v>0</v>
      </c>
      <c r="B94" s="111" t="s">
        <v>1</v>
      </c>
      <c r="C94" s="112"/>
      <c r="D94" s="111" t="s">
        <v>2</v>
      </c>
      <c r="E94" s="112"/>
      <c r="F94" s="111" t="s">
        <v>3</v>
      </c>
      <c r="G94" s="112"/>
      <c r="H94" s="111" t="s">
        <v>295</v>
      </c>
      <c r="I94" s="112"/>
      <c r="J94" s="111" t="s">
        <v>5</v>
      </c>
      <c r="K94" s="112"/>
      <c r="L94" s="111" t="s">
        <v>6</v>
      </c>
      <c r="M94" s="112"/>
      <c r="N94" s="111" t="s">
        <v>7</v>
      </c>
      <c r="O94" s="112"/>
      <c r="P94" s="111" t="s">
        <v>309</v>
      </c>
      <c r="Q94" s="112"/>
      <c r="R94" s="111" t="s">
        <v>9</v>
      </c>
      <c r="S94" s="112"/>
      <c r="T94" s="111" t="s">
        <v>10</v>
      </c>
      <c r="U94" s="112"/>
      <c r="V94" s="111" t="s">
        <v>11</v>
      </c>
      <c r="W94" s="112"/>
      <c r="X94" s="111" t="s">
        <v>12</v>
      </c>
      <c r="Y94" s="112"/>
      <c r="Z94" s="111" t="s">
        <v>13</v>
      </c>
      <c r="AA94" s="112"/>
      <c r="AB94" s="111" t="s">
        <v>14</v>
      </c>
      <c r="AC94" s="112"/>
      <c r="AD94" s="111" t="s">
        <v>15</v>
      </c>
      <c r="AE94" s="112"/>
      <c r="AF94" s="111" t="s">
        <v>16</v>
      </c>
      <c r="AG94" s="112"/>
      <c r="AH94" s="111" t="s">
        <v>17</v>
      </c>
      <c r="AI94" s="112"/>
      <c r="AJ94" s="111" t="s">
        <v>18</v>
      </c>
      <c r="AK94" s="112"/>
      <c r="AL94" s="111" t="s">
        <v>293</v>
      </c>
      <c r="AM94" s="112"/>
      <c r="AN94" s="111" t="s">
        <v>19</v>
      </c>
      <c r="AO94" s="112"/>
      <c r="AP94" s="111" t="s">
        <v>20</v>
      </c>
      <c r="AQ94" s="112"/>
      <c r="AR94" s="111" t="s">
        <v>21</v>
      </c>
      <c r="AS94" s="112"/>
      <c r="AT94" s="111" t="s">
        <v>22</v>
      </c>
      <c r="AU94" s="112"/>
      <c r="AV94" s="111" t="s">
        <v>23</v>
      </c>
      <c r="AW94" s="112"/>
      <c r="AX94" s="111" t="s">
        <v>24</v>
      </c>
      <c r="AY94" s="112"/>
      <c r="AZ94" s="111" t="s">
        <v>25</v>
      </c>
      <c r="BA94" s="112"/>
      <c r="BB94" s="111" t="s">
        <v>26</v>
      </c>
      <c r="BC94" s="112"/>
      <c r="BD94" s="111" t="s">
        <v>27</v>
      </c>
      <c r="BE94" s="112"/>
      <c r="BF94" s="111" t="s">
        <v>28</v>
      </c>
      <c r="BG94" s="112"/>
      <c r="BH94" s="111" t="s">
        <v>29</v>
      </c>
      <c r="BI94" s="112"/>
      <c r="BJ94" s="111" t="s">
        <v>30</v>
      </c>
      <c r="BK94" s="112"/>
      <c r="BL94" s="115" t="s">
        <v>31</v>
      </c>
      <c r="BM94" s="116"/>
      <c r="BN94" s="111" t="s">
        <v>32</v>
      </c>
      <c r="BO94" s="112"/>
      <c r="BP94" s="113" t="s">
        <v>33</v>
      </c>
      <c r="BQ94" s="114"/>
    </row>
    <row r="95" spans="1:69" ht="30" x14ac:dyDescent="0.25">
      <c r="A95" s="1"/>
      <c r="B95" s="66" t="s">
        <v>298</v>
      </c>
      <c r="C95" s="67" t="s">
        <v>299</v>
      </c>
      <c r="D95" s="66" t="s">
        <v>298</v>
      </c>
      <c r="E95" s="67" t="s">
        <v>299</v>
      </c>
      <c r="F95" s="66" t="s">
        <v>298</v>
      </c>
      <c r="G95" s="67" t="s">
        <v>299</v>
      </c>
      <c r="H95" s="66" t="s">
        <v>298</v>
      </c>
      <c r="I95" s="67" t="s">
        <v>299</v>
      </c>
      <c r="J95" s="66" t="s">
        <v>298</v>
      </c>
      <c r="K95" s="67" t="s">
        <v>299</v>
      </c>
      <c r="L95" s="66" t="s">
        <v>298</v>
      </c>
      <c r="M95" s="67" t="s">
        <v>299</v>
      </c>
      <c r="N95" s="66" t="s">
        <v>298</v>
      </c>
      <c r="O95" s="67" t="s">
        <v>299</v>
      </c>
      <c r="P95" s="66" t="s">
        <v>298</v>
      </c>
      <c r="Q95" s="67" t="s">
        <v>299</v>
      </c>
      <c r="R95" s="66" t="s">
        <v>298</v>
      </c>
      <c r="S95" s="67" t="s">
        <v>299</v>
      </c>
      <c r="T95" s="66" t="s">
        <v>298</v>
      </c>
      <c r="U95" s="67" t="s">
        <v>299</v>
      </c>
      <c r="V95" s="66" t="s">
        <v>298</v>
      </c>
      <c r="W95" s="67" t="s">
        <v>299</v>
      </c>
      <c r="X95" s="66" t="s">
        <v>298</v>
      </c>
      <c r="Y95" s="67" t="s">
        <v>299</v>
      </c>
      <c r="Z95" s="66" t="s">
        <v>298</v>
      </c>
      <c r="AA95" s="67" t="s">
        <v>299</v>
      </c>
      <c r="AB95" s="66" t="s">
        <v>298</v>
      </c>
      <c r="AC95" s="67" t="s">
        <v>299</v>
      </c>
      <c r="AD95" s="66" t="s">
        <v>298</v>
      </c>
      <c r="AE95" s="67" t="s">
        <v>299</v>
      </c>
      <c r="AF95" s="66" t="s">
        <v>298</v>
      </c>
      <c r="AG95" s="67" t="s">
        <v>299</v>
      </c>
      <c r="AH95" s="66" t="s">
        <v>298</v>
      </c>
      <c r="AI95" s="67" t="s">
        <v>299</v>
      </c>
      <c r="AJ95" s="66" t="s">
        <v>298</v>
      </c>
      <c r="AK95" s="67" t="s">
        <v>299</v>
      </c>
      <c r="AL95" s="66" t="s">
        <v>298</v>
      </c>
      <c r="AM95" s="67" t="s">
        <v>299</v>
      </c>
      <c r="AN95" s="66" t="s">
        <v>298</v>
      </c>
      <c r="AO95" s="67" t="s">
        <v>299</v>
      </c>
      <c r="AP95" s="66" t="s">
        <v>298</v>
      </c>
      <c r="AQ95" s="67" t="s">
        <v>299</v>
      </c>
      <c r="AR95" s="66" t="s">
        <v>298</v>
      </c>
      <c r="AS95" s="67" t="s">
        <v>299</v>
      </c>
      <c r="AT95" s="66" t="s">
        <v>298</v>
      </c>
      <c r="AU95" s="67" t="s">
        <v>299</v>
      </c>
      <c r="AV95" s="66" t="s">
        <v>298</v>
      </c>
      <c r="AW95" s="67" t="s">
        <v>299</v>
      </c>
      <c r="AX95" s="66" t="s">
        <v>298</v>
      </c>
      <c r="AY95" s="67" t="s">
        <v>299</v>
      </c>
      <c r="AZ95" s="66" t="s">
        <v>298</v>
      </c>
      <c r="BA95" s="67" t="s">
        <v>299</v>
      </c>
      <c r="BB95" s="66" t="s">
        <v>298</v>
      </c>
      <c r="BC95" s="67" t="s">
        <v>299</v>
      </c>
      <c r="BD95" s="66" t="s">
        <v>298</v>
      </c>
      <c r="BE95" s="67" t="s">
        <v>299</v>
      </c>
      <c r="BF95" s="66" t="s">
        <v>298</v>
      </c>
      <c r="BG95" s="67" t="s">
        <v>299</v>
      </c>
      <c r="BH95" s="66" t="s">
        <v>298</v>
      </c>
      <c r="BI95" s="67" t="s">
        <v>299</v>
      </c>
      <c r="BJ95" s="66" t="s">
        <v>298</v>
      </c>
      <c r="BK95" s="67" t="s">
        <v>299</v>
      </c>
      <c r="BL95" s="66" t="s">
        <v>298</v>
      </c>
      <c r="BM95" s="67" t="s">
        <v>299</v>
      </c>
      <c r="BN95" s="66" t="s">
        <v>298</v>
      </c>
      <c r="BO95" s="67" t="s">
        <v>299</v>
      </c>
      <c r="BP95" s="66" t="s">
        <v>298</v>
      </c>
      <c r="BQ95" s="67" t="s">
        <v>299</v>
      </c>
    </row>
    <row r="96" spans="1:69" x14ac:dyDescent="0.25">
      <c r="A96" s="10" t="s">
        <v>283</v>
      </c>
      <c r="B96" s="10">
        <v>939788</v>
      </c>
      <c r="C96" s="10">
        <v>3730655</v>
      </c>
      <c r="D96" s="10">
        <v>3263047</v>
      </c>
      <c r="E96" s="10">
        <v>8720374</v>
      </c>
      <c r="F96" s="36">
        <v>16242345</v>
      </c>
      <c r="G96" s="36">
        <v>93612355</v>
      </c>
      <c r="H96" s="10">
        <v>9004277</v>
      </c>
      <c r="I96" s="10">
        <v>25216609</v>
      </c>
      <c r="J96" s="10">
        <v>26460450</v>
      </c>
      <c r="K96" s="10">
        <v>127797712</v>
      </c>
      <c r="L96" s="10">
        <v>7302903</v>
      </c>
      <c r="M96" s="10">
        <v>31342373</v>
      </c>
      <c r="N96" s="10">
        <v>11259381</v>
      </c>
      <c r="O96" s="10">
        <v>43984932</v>
      </c>
      <c r="P96" s="10">
        <v>250434</v>
      </c>
      <c r="Q96" s="10">
        <v>1579917</v>
      </c>
      <c r="R96" s="10">
        <v>549253</v>
      </c>
      <c r="S96" s="10">
        <v>1463605</v>
      </c>
      <c r="T96" s="10">
        <v>2653585.92</v>
      </c>
      <c r="U96" s="10">
        <v>10754739.68</v>
      </c>
      <c r="V96" s="10">
        <v>10117759</v>
      </c>
      <c r="W96" s="10">
        <v>34174942</v>
      </c>
      <c r="X96" s="10">
        <v>3036685</v>
      </c>
      <c r="Y96" s="10">
        <v>17678557</v>
      </c>
      <c r="Z96" s="10">
        <v>23636707</v>
      </c>
      <c r="AA96" s="10">
        <v>93083973</v>
      </c>
      <c r="AB96" s="10">
        <v>31805642</v>
      </c>
      <c r="AC96" s="10">
        <v>133128433</v>
      </c>
      <c r="AD96" s="10">
        <v>17589574</v>
      </c>
      <c r="AE96" s="10">
        <v>79610404</v>
      </c>
      <c r="AF96" s="10">
        <v>1265080</v>
      </c>
      <c r="AG96" s="10">
        <v>4333909</v>
      </c>
      <c r="AH96" s="10">
        <v>4061384</v>
      </c>
      <c r="AI96" s="10">
        <v>15313666</v>
      </c>
      <c r="AJ96" s="10">
        <v>3394340</v>
      </c>
      <c r="AK96" s="10">
        <v>12247710</v>
      </c>
      <c r="AL96" s="10">
        <v>1608143</v>
      </c>
      <c r="AM96" s="10">
        <v>5761942</v>
      </c>
      <c r="AN96" s="10">
        <v>4093613</v>
      </c>
      <c r="AO96" s="10">
        <v>12428869</v>
      </c>
      <c r="AP96" s="10">
        <v>41433514.206162721</v>
      </c>
      <c r="AQ96" s="10">
        <v>153128810.99006999</v>
      </c>
      <c r="AR96" s="36">
        <v>76748965</v>
      </c>
      <c r="AS96" s="36">
        <v>297150666</v>
      </c>
      <c r="AT96" s="10">
        <v>36834252</v>
      </c>
      <c r="AU96" s="10">
        <v>139960105</v>
      </c>
      <c r="AV96" s="10">
        <v>628506</v>
      </c>
      <c r="AW96" s="10">
        <v>1581216</v>
      </c>
      <c r="AX96" s="10">
        <v>14490001</v>
      </c>
      <c r="AY96" s="10">
        <v>74650408</v>
      </c>
      <c r="AZ96" s="10">
        <v>6374997</v>
      </c>
      <c r="BA96" s="10">
        <v>23889867</v>
      </c>
      <c r="BB96" s="10">
        <v>8913408</v>
      </c>
      <c r="BC96" s="10">
        <v>36669572</v>
      </c>
      <c r="BD96" s="10">
        <v>19475416</v>
      </c>
      <c r="BE96" s="10">
        <v>67969692</v>
      </c>
      <c r="BF96" s="36">
        <v>6697859</v>
      </c>
      <c r="BG96" s="36">
        <v>24661883</v>
      </c>
      <c r="BH96" s="10">
        <v>25016842</v>
      </c>
      <c r="BI96" s="10">
        <v>68651418</v>
      </c>
      <c r="BJ96" s="10">
        <v>16962809</v>
      </c>
      <c r="BK96" s="10">
        <v>73845278</v>
      </c>
      <c r="BL96" s="10">
        <v>49812658</v>
      </c>
      <c r="BM96" s="10">
        <v>175150903</v>
      </c>
      <c r="BN96" s="10">
        <v>5497185</v>
      </c>
      <c r="BO96" s="10">
        <v>28590545</v>
      </c>
      <c r="BP96" s="82">
        <f t="shared" ref="BP96:BP100" si="27">B96+D96+F96+H96+J96+L96+N96+P96+R96+T96+V96+X96+Z96+AB96+AD96+AF96+AH96+AJ96+AL96+AN96+AP96+AR96+AT96+AV96+AX96+AZ96+BB96+BD96+BF96+BH96+BJ96+BL96+BN96</f>
        <v>487420803.12616277</v>
      </c>
      <c r="BQ96" s="82">
        <f t="shared" ref="BQ96:BQ100" si="28">C96+E96+G96+I96+K96+M96+O96+Q96+S96+U96+W96+Y96+AA96+AC96+AE96+AG96+AI96+AK96+AM96+AO96+AQ96+AS96+AU96+AW96+AY96+BA96+BC96+BE96+BG96+BI96+BK96+BM96+BO96</f>
        <v>1921866040.6700702</v>
      </c>
    </row>
    <row r="97" spans="1:69" x14ac:dyDescent="0.25">
      <c r="A97" s="10" t="s">
        <v>286</v>
      </c>
      <c r="B97" s="10"/>
      <c r="C97" s="10"/>
      <c r="D97" s="10"/>
      <c r="E97" s="10"/>
      <c r="F97" s="10">
        <v>-41</v>
      </c>
      <c r="G97" s="10">
        <v>-256</v>
      </c>
      <c r="H97" s="10"/>
      <c r="I97" s="10"/>
      <c r="J97" s="10">
        <v>94533</v>
      </c>
      <c r="K97" s="10">
        <v>532944</v>
      </c>
      <c r="L97" s="10">
        <v>28984</v>
      </c>
      <c r="M97" s="10">
        <v>231415</v>
      </c>
      <c r="N97" s="10">
        <v>19394</v>
      </c>
      <c r="O97" s="10">
        <v>114713</v>
      </c>
      <c r="P97" s="10">
        <v>1216</v>
      </c>
      <c r="Q97" s="10">
        <v>6065</v>
      </c>
      <c r="R97" s="10">
        <v>39926</v>
      </c>
      <c r="S97" s="10">
        <v>122439</v>
      </c>
      <c r="T97" s="10"/>
      <c r="U97" s="10"/>
      <c r="V97" s="10">
        <v>50162</v>
      </c>
      <c r="W97" s="10">
        <v>721245</v>
      </c>
      <c r="X97" s="10">
        <v>3064011</v>
      </c>
      <c r="Y97" s="10">
        <v>4844917</v>
      </c>
      <c r="Z97" s="10">
        <v>278912</v>
      </c>
      <c r="AA97" s="10">
        <v>1305091</v>
      </c>
      <c r="AB97" s="10">
        <v>510186</v>
      </c>
      <c r="AC97" s="10">
        <v>2795316</v>
      </c>
      <c r="AD97" s="10">
        <v>79291</v>
      </c>
      <c r="AE97" s="10">
        <v>1094298</v>
      </c>
      <c r="AF97" s="10">
        <v>5517</v>
      </c>
      <c r="AG97" s="10">
        <v>29766</v>
      </c>
      <c r="AH97" s="10">
        <v>93384</v>
      </c>
      <c r="AI97" s="10">
        <v>313238</v>
      </c>
      <c r="AJ97" s="10">
        <v>60060</v>
      </c>
      <c r="AK97" s="10">
        <v>691477</v>
      </c>
      <c r="AL97" s="10"/>
      <c r="AM97" s="10"/>
      <c r="AN97" s="10"/>
      <c r="AO97" s="10"/>
      <c r="AP97" s="10">
        <v>705481.62628739013</v>
      </c>
      <c r="AQ97" s="10">
        <v>2599455.2431687498</v>
      </c>
      <c r="AR97" s="36">
        <v>4700855</v>
      </c>
      <c r="AS97" s="36">
        <v>15287918</v>
      </c>
      <c r="AT97" s="10">
        <v>576228</v>
      </c>
      <c r="AU97" s="10">
        <v>3213295</v>
      </c>
      <c r="AV97" s="10">
        <v>30268</v>
      </c>
      <c r="AW97" s="10">
        <v>218527</v>
      </c>
      <c r="AX97" s="10">
        <v>49862</v>
      </c>
      <c r="AY97" s="10">
        <v>489300</v>
      </c>
      <c r="AZ97" s="10">
        <v>105474</v>
      </c>
      <c r="BA97" s="10">
        <v>200188</v>
      </c>
      <c r="BB97" s="10">
        <v>73414</v>
      </c>
      <c r="BC97" s="10">
        <v>511171</v>
      </c>
      <c r="BD97" s="10">
        <v>11282</v>
      </c>
      <c r="BE97" s="10">
        <v>428231</v>
      </c>
      <c r="BF97" s="36">
        <v>8825</v>
      </c>
      <c r="BG97" s="36">
        <v>54483</v>
      </c>
      <c r="BH97" s="10"/>
      <c r="BI97" s="10"/>
      <c r="BJ97" s="10">
        <v>331578</v>
      </c>
      <c r="BK97" s="10">
        <v>1632273</v>
      </c>
      <c r="BL97" s="10">
        <v>419877</v>
      </c>
      <c r="BM97" s="10">
        <v>2516498</v>
      </c>
      <c r="BN97" s="10">
        <v>5516</v>
      </c>
      <c r="BO97" s="10">
        <v>56554</v>
      </c>
      <c r="BP97" s="82">
        <f t="shared" si="27"/>
        <v>11344195.62628739</v>
      </c>
      <c r="BQ97" s="82">
        <f t="shared" si="28"/>
        <v>40010561.243168749</v>
      </c>
    </row>
    <row r="98" spans="1:69" x14ac:dyDescent="0.25">
      <c r="A98" s="10" t="s">
        <v>287</v>
      </c>
      <c r="B98" s="7">
        <v>414483</v>
      </c>
      <c r="C98" s="10">
        <v>1834767</v>
      </c>
      <c r="D98" s="10">
        <v>663481</v>
      </c>
      <c r="E98" s="10">
        <v>1774425</v>
      </c>
      <c r="F98" s="36">
        <v>12588477</v>
      </c>
      <c r="G98" s="36">
        <v>72607249</v>
      </c>
      <c r="H98" s="10">
        <v>1932853</v>
      </c>
      <c r="I98" s="10">
        <v>5694710</v>
      </c>
      <c r="J98" s="10">
        <v>7957044</v>
      </c>
      <c r="K98" s="10">
        <v>48171032</v>
      </c>
      <c r="L98" s="10">
        <v>2512855</v>
      </c>
      <c r="M98" s="10">
        <v>11532640</v>
      </c>
      <c r="N98" s="10">
        <v>2607574</v>
      </c>
      <c r="O98" s="10">
        <v>10007695</v>
      </c>
      <c r="P98" s="10">
        <v>-91087</v>
      </c>
      <c r="Q98" s="10">
        <v>-425199</v>
      </c>
      <c r="R98" s="10">
        <v>95336</v>
      </c>
      <c r="S98" s="10">
        <v>268297</v>
      </c>
      <c r="T98" s="10">
        <v>595815.38</v>
      </c>
      <c r="U98" s="10">
        <v>2831844.44</v>
      </c>
      <c r="V98" s="10">
        <v>3716957</v>
      </c>
      <c r="W98" s="10">
        <v>13260959</v>
      </c>
      <c r="X98" s="10">
        <v>1670447</v>
      </c>
      <c r="Y98" s="10">
        <v>6917217</v>
      </c>
      <c r="Z98" s="10">
        <v>-11779024</v>
      </c>
      <c r="AA98" s="10">
        <v>-48090000</v>
      </c>
      <c r="AB98" s="10">
        <v>8000453</v>
      </c>
      <c r="AC98" s="10">
        <v>39516824</v>
      </c>
      <c r="AD98" s="10">
        <v>5945746</v>
      </c>
      <c r="AE98" s="10">
        <v>33292312</v>
      </c>
      <c r="AF98" s="10">
        <v>179572</v>
      </c>
      <c r="AG98" s="10">
        <v>592285</v>
      </c>
      <c r="AH98" s="10">
        <v>566865</v>
      </c>
      <c r="AI98" s="10">
        <v>2237559</v>
      </c>
      <c r="AJ98" s="10">
        <v>-1450868</v>
      </c>
      <c r="AK98" s="10">
        <v>-5037430</v>
      </c>
      <c r="AL98" s="10">
        <v>81743</v>
      </c>
      <c r="AM98" s="10">
        <v>293169</v>
      </c>
      <c r="AN98" s="10">
        <v>952936</v>
      </c>
      <c r="AO98" s="10">
        <v>2892039</v>
      </c>
      <c r="AP98" s="10">
        <v>17103275.186648678</v>
      </c>
      <c r="AQ98" s="10">
        <v>61226918.724331245</v>
      </c>
      <c r="AR98" s="36">
        <v>18557340</v>
      </c>
      <c r="AS98" s="36">
        <v>67568068</v>
      </c>
      <c r="AT98" s="10">
        <v>6503739</v>
      </c>
      <c r="AU98" s="10">
        <v>33286459</v>
      </c>
      <c r="AV98" s="10">
        <v>86376</v>
      </c>
      <c r="AW98" s="10">
        <v>367297</v>
      </c>
      <c r="AX98" s="10">
        <v>6779200</v>
      </c>
      <c r="AY98" s="10">
        <v>35803477</v>
      </c>
      <c r="AZ98" s="10">
        <v>1644980</v>
      </c>
      <c r="BA98" s="10">
        <v>7829853</v>
      </c>
      <c r="BB98" s="10">
        <v>-2856964</v>
      </c>
      <c r="BC98" s="10">
        <v>-13626436</v>
      </c>
      <c r="BD98" s="10">
        <v>9456524</v>
      </c>
      <c r="BE98" s="10">
        <v>32718915</v>
      </c>
      <c r="BF98" s="36">
        <v>442921</v>
      </c>
      <c r="BG98" s="36">
        <v>1663734</v>
      </c>
      <c r="BH98" s="10">
        <v>6035149</v>
      </c>
      <c r="BI98" s="10">
        <v>16256672</v>
      </c>
      <c r="BJ98" s="10">
        <v>5120553</v>
      </c>
      <c r="BK98" s="10">
        <v>28206836</v>
      </c>
      <c r="BL98" s="10">
        <v>11253749</v>
      </c>
      <c r="BM98" s="10">
        <v>40267072</v>
      </c>
      <c r="BN98" s="10">
        <v>1428560</v>
      </c>
      <c r="BO98" s="10">
        <v>13945725</v>
      </c>
      <c r="BP98" s="82">
        <f t="shared" si="27"/>
        <v>118717060.56664868</v>
      </c>
      <c r="BQ98" s="82">
        <f t="shared" si="28"/>
        <v>525686985.16433126</v>
      </c>
    </row>
    <row r="99" spans="1:69" x14ac:dyDescent="0.25">
      <c r="A99" s="10" t="s">
        <v>241</v>
      </c>
      <c r="B99" s="10">
        <v>525305</v>
      </c>
      <c r="C99" s="10">
        <v>1895888</v>
      </c>
      <c r="D99" s="10">
        <v>2599566</v>
      </c>
      <c r="E99" s="10">
        <v>6945949</v>
      </c>
      <c r="F99" s="36">
        <v>3653827</v>
      </c>
      <c r="G99" s="36">
        <v>21004850</v>
      </c>
      <c r="H99" s="10">
        <v>7071424</v>
      </c>
      <c r="I99" s="10">
        <v>19521899</v>
      </c>
      <c r="J99" s="10">
        <v>18597939</v>
      </c>
      <c r="K99" s="10">
        <v>80159624</v>
      </c>
      <c r="L99" s="10">
        <v>4819032</v>
      </c>
      <c r="M99" s="10">
        <v>20041148</v>
      </c>
      <c r="N99" s="10">
        <v>8671201</v>
      </c>
      <c r="O99" s="10">
        <v>34091950</v>
      </c>
      <c r="P99" s="10">
        <v>160563</v>
      </c>
      <c r="Q99" s="10">
        <v>1160783</v>
      </c>
      <c r="R99" s="10">
        <v>493843</v>
      </c>
      <c r="S99" s="10">
        <v>1317747</v>
      </c>
      <c r="T99" s="10">
        <v>2057770.54</v>
      </c>
      <c r="U99" s="10">
        <v>7922895.2400000002</v>
      </c>
      <c r="V99" s="10">
        <v>6450964</v>
      </c>
      <c r="W99" s="10">
        <v>21635228</v>
      </c>
      <c r="X99" s="10">
        <v>4430249</v>
      </c>
      <c r="Y99" s="10">
        <v>15606257</v>
      </c>
      <c r="Z99" s="10">
        <v>12136594</v>
      </c>
      <c r="AA99" s="10">
        <v>46299064</v>
      </c>
      <c r="AB99" s="10">
        <v>24315375</v>
      </c>
      <c r="AC99" s="10">
        <v>96406925</v>
      </c>
      <c r="AD99" s="10">
        <v>11723119</v>
      </c>
      <c r="AE99" s="10">
        <v>47412390</v>
      </c>
      <c r="AF99" s="10">
        <v>1091025</v>
      </c>
      <c r="AG99" s="10">
        <v>3771390</v>
      </c>
      <c r="AH99" s="10">
        <v>3587903</v>
      </c>
      <c r="AI99" s="10">
        <v>13389345</v>
      </c>
      <c r="AJ99" s="10">
        <v>2003532</v>
      </c>
      <c r="AK99" s="10">
        <v>7901757</v>
      </c>
      <c r="AL99" s="10">
        <v>1526400</v>
      </c>
      <c r="AM99" s="10">
        <v>5468773</v>
      </c>
      <c r="AN99" s="10">
        <v>3140677</v>
      </c>
      <c r="AO99" s="10">
        <v>9536830</v>
      </c>
      <c r="AP99" s="10">
        <v>25035720.645801436</v>
      </c>
      <c r="AQ99" s="10">
        <v>94501347.508907482</v>
      </c>
      <c r="AR99" s="36">
        <v>62892480</v>
      </c>
      <c r="AS99" s="36">
        <v>244870516</v>
      </c>
      <c r="AT99" s="10">
        <v>30906741</v>
      </c>
      <c r="AU99" s="10">
        <v>109886941</v>
      </c>
      <c r="AV99" s="10">
        <v>572398</v>
      </c>
      <c r="AW99" s="10">
        <v>1432446</v>
      </c>
      <c r="AX99" s="10">
        <v>7760663</v>
      </c>
      <c r="AY99" s="10">
        <v>39336231</v>
      </c>
      <c r="AZ99" s="10">
        <v>4835491</v>
      </c>
      <c r="BA99" s="10">
        <v>16260202</v>
      </c>
      <c r="BB99" s="10">
        <v>6129858</v>
      </c>
      <c r="BC99" s="10">
        <v>23554307</v>
      </c>
      <c r="BD99" s="10">
        <v>10030174</v>
      </c>
      <c r="BE99" s="10">
        <v>35679008</v>
      </c>
      <c r="BF99" s="36">
        <v>6263764</v>
      </c>
      <c r="BG99" s="36">
        <v>23052632</v>
      </c>
      <c r="BH99" s="10">
        <v>18981694</v>
      </c>
      <c r="BI99" s="10">
        <v>52394746</v>
      </c>
      <c r="BJ99" s="10">
        <v>12173834</v>
      </c>
      <c r="BK99" s="10">
        <v>47270715</v>
      </c>
      <c r="BL99" s="10">
        <v>38978786</v>
      </c>
      <c r="BM99" s="10">
        <v>137400329</v>
      </c>
      <c r="BN99" s="10">
        <v>4074141</v>
      </c>
      <c r="BO99" s="10">
        <v>14701374</v>
      </c>
      <c r="BP99" s="82">
        <f t="shared" si="27"/>
        <v>347692053.18580139</v>
      </c>
      <c r="BQ99" s="82">
        <f t="shared" si="28"/>
        <v>1301831486.7489076</v>
      </c>
    </row>
    <row r="100" spans="1:69" x14ac:dyDescent="0.25">
      <c r="A100" s="10" t="s">
        <v>242</v>
      </c>
      <c r="B100" s="10">
        <v>416353</v>
      </c>
      <c r="C100" s="10">
        <v>1646954</v>
      </c>
      <c r="D100" s="10">
        <v>2154429</v>
      </c>
      <c r="E100" s="10">
        <v>5854079</v>
      </c>
      <c r="F100" s="36">
        <v>3509114</v>
      </c>
      <c r="G100" s="36">
        <v>18463089</v>
      </c>
      <c r="H100" s="10">
        <v>7121989</v>
      </c>
      <c r="I100" s="10">
        <v>19083357</v>
      </c>
      <c r="J100" s="10">
        <v>19722631</v>
      </c>
      <c r="K100" s="10">
        <v>82061822</v>
      </c>
      <c r="L100" s="10">
        <v>4949468</v>
      </c>
      <c r="M100" s="10">
        <v>18296571</v>
      </c>
      <c r="N100" s="10">
        <v>8664510</v>
      </c>
      <c r="O100" s="10">
        <v>34370024</v>
      </c>
      <c r="P100" s="10">
        <v>202337</v>
      </c>
      <c r="Q100" s="10">
        <v>1224293</v>
      </c>
      <c r="R100" s="10">
        <v>279343</v>
      </c>
      <c r="S100" s="10">
        <v>925459</v>
      </c>
      <c r="T100" s="10">
        <v>2353992.14</v>
      </c>
      <c r="U100" s="10">
        <v>8311551.1900000004</v>
      </c>
      <c r="V100" s="10">
        <v>5559123</v>
      </c>
      <c r="W100" s="10">
        <v>19815812</v>
      </c>
      <c r="X100" s="10">
        <v>3736851</v>
      </c>
      <c r="Y100" s="10">
        <v>12413462</v>
      </c>
      <c r="Z100" s="10">
        <v>10766324</v>
      </c>
      <c r="AA100" s="10">
        <v>43834873</v>
      </c>
      <c r="AB100" s="10">
        <v>23455431</v>
      </c>
      <c r="AC100" s="10">
        <v>94035170</v>
      </c>
      <c r="AD100" s="10">
        <v>11480447</v>
      </c>
      <c r="AE100" s="10">
        <v>46253213</v>
      </c>
      <c r="AF100" s="10">
        <v>817466</v>
      </c>
      <c r="AG100" s="10">
        <v>2908895</v>
      </c>
      <c r="AH100" s="10">
        <v>3152987</v>
      </c>
      <c r="AI100" s="10">
        <v>11607070</v>
      </c>
      <c r="AJ100" s="10">
        <v>1938529</v>
      </c>
      <c r="AK100" s="10">
        <v>7082970</v>
      </c>
      <c r="AL100" s="10">
        <v>1379419</v>
      </c>
      <c r="AM100" s="10">
        <v>5034358</v>
      </c>
      <c r="AN100" s="10">
        <v>3034765</v>
      </c>
      <c r="AO100" s="10">
        <v>8410691</v>
      </c>
      <c r="AP100" s="10">
        <v>26297460.624504529</v>
      </c>
      <c r="AQ100" s="10">
        <v>96827149.242595583</v>
      </c>
      <c r="AR100" s="36">
        <v>61215361</v>
      </c>
      <c r="AS100" s="36">
        <v>235288441</v>
      </c>
      <c r="AT100" s="10">
        <v>30294335</v>
      </c>
      <c r="AU100" s="10">
        <v>109244417</v>
      </c>
      <c r="AV100" s="10">
        <v>322838</v>
      </c>
      <c r="AW100" s="10">
        <v>1143021</v>
      </c>
      <c r="AX100" s="10">
        <v>11049884</v>
      </c>
      <c r="AY100" s="10">
        <v>40786102</v>
      </c>
      <c r="AZ100" s="10">
        <v>4473437</v>
      </c>
      <c r="BA100" s="10">
        <v>15084507</v>
      </c>
      <c r="BB100" s="10">
        <v>5913754</v>
      </c>
      <c r="BC100" s="10">
        <v>22801156</v>
      </c>
      <c r="BD100" s="10">
        <v>7159849</v>
      </c>
      <c r="BE100" s="10">
        <v>30306946</v>
      </c>
      <c r="BF100" s="36">
        <v>5797865</v>
      </c>
      <c r="BG100" s="36">
        <v>22700423</v>
      </c>
      <c r="BH100" s="10">
        <v>17489714</v>
      </c>
      <c r="BI100" s="10">
        <v>46840921</v>
      </c>
      <c r="BJ100" s="10">
        <v>11622745</v>
      </c>
      <c r="BK100" s="10">
        <v>48527980</v>
      </c>
      <c r="BL100" s="10">
        <v>40858785</v>
      </c>
      <c r="BM100" s="10">
        <v>137445418</v>
      </c>
      <c r="BN100" s="10">
        <v>3280089</v>
      </c>
      <c r="BO100" s="10">
        <v>13125664</v>
      </c>
      <c r="BP100" s="82">
        <f t="shared" si="27"/>
        <v>340471624.76450455</v>
      </c>
      <c r="BQ100" s="82">
        <f t="shared" si="28"/>
        <v>1261755858.4325957</v>
      </c>
    </row>
  </sheetData>
  <mergeCells count="374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H4:BI4"/>
    <mergeCell ref="BJ4:BK4"/>
    <mergeCell ref="BL4:BM4"/>
    <mergeCell ref="BN4:BO4"/>
    <mergeCell ref="BP4:BQ4"/>
    <mergeCell ref="B13:C13"/>
    <mergeCell ref="D13:E13"/>
    <mergeCell ref="F13:G13"/>
    <mergeCell ref="H13:I13"/>
    <mergeCell ref="J13:K13"/>
    <mergeCell ref="AX4:AY4"/>
    <mergeCell ref="AZ4:BA4"/>
    <mergeCell ref="BB4:BC4"/>
    <mergeCell ref="BD4:BE4"/>
    <mergeCell ref="BF4:BG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L13:BM13"/>
    <mergeCell ref="BN13:BO13"/>
    <mergeCell ref="BP13:BQ13"/>
    <mergeCell ref="AV13:AW13"/>
    <mergeCell ref="AX13:AY13"/>
    <mergeCell ref="AZ13:BA13"/>
    <mergeCell ref="BB13:BC13"/>
    <mergeCell ref="BD13:BE13"/>
    <mergeCell ref="R13:S13"/>
    <mergeCell ref="T13:U13"/>
    <mergeCell ref="V13:W13"/>
    <mergeCell ref="B22:C22"/>
    <mergeCell ref="D22:E22"/>
    <mergeCell ref="F22:G22"/>
    <mergeCell ref="H22:I22"/>
    <mergeCell ref="J22:K22"/>
    <mergeCell ref="L22:M22"/>
    <mergeCell ref="BF13:BG13"/>
    <mergeCell ref="BH13:BI13"/>
    <mergeCell ref="BJ13:BK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BH22:BI22"/>
    <mergeCell ref="BJ22:BK22"/>
    <mergeCell ref="BL22:BM22"/>
    <mergeCell ref="BN22:BO22"/>
    <mergeCell ref="BP22:BQ22"/>
    <mergeCell ref="B31:C31"/>
    <mergeCell ref="D31:E31"/>
    <mergeCell ref="F31:G31"/>
    <mergeCell ref="H31:I31"/>
    <mergeCell ref="J31:K31"/>
    <mergeCell ref="AX22:AY22"/>
    <mergeCell ref="AZ22:BA22"/>
    <mergeCell ref="BB22:BC22"/>
    <mergeCell ref="BD22:BE22"/>
    <mergeCell ref="BF22:BG22"/>
    <mergeCell ref="AL22:AM22"/>
    <mergeCell ref="AN22:AO22"/>
    <mergeCell ref="AP22:AQ22"/>
    <mergeCell ref="AR22:AS22"/>
    <mergeCell ref="AT22:AU22"/>
    <mergeCell ref="AV22:AW22"/>
    <mergeCell ref="Z22:AA22"/>
    <mergeCell ref="AB22:AC22"/>
    <mergeCell ref="AD22:AE22"/>
    <mergeCell ref="BL31:BM31"/>
    <mergeCell ref="BN31:BO31"/>
    <mergeCell ref="BP31:BQ31"/>
    <mergeCell ref="AV31:AW31"/>
    <mergeCell ref="AX31:AY31"/>
    <mergeCell ref="AZ31:BA31"/>
    <mergeCell ref="BB31:BC31"/>
    <mergeCell ref="BD31:BE31"/>
    <mergeCell ref="R31:S31"/>
    <mergeCell ref="T31:U31"/>
    <mergeCell ref="V31:W31"/>
    <mergeCell ref="B40:C40"/>
    <mergeCell ref="D40:E40"/>
    <mergeCell ref="F40:G40"/>
    <mergeCell ref="H40:I40"/>
    <mergeCell ref="J40:K40"/>
    <mergeCell ref="L40:M40"/>
    <mergeCell ref="BF31:BG31"/>
    <mergeCell ref="BH31:BI31"/>
    <mergeCell ref="BJ31:BK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BH40:BI40"/>
    <mergeCell ref="BJ40:BK40"/>
    <mergeCell ref="BL40:BM40"/>
    <mergeCell ref="BN40:BO40"/>
    <mergeCell ref="BP40:BQ40"/>
    <mergeCell ref="B49:C49"/>
    <mergeCell ref="D49:E49"/>
    <mergeCell ref="F49:G49"/>
    <mergeCell ref="H49:I49"/>
    <mergeCell ref="J49:K49"/>
    <mergeCell ref="AX40:AY40"/>
    <mergeCell ref="AZ40:BA40"/>
    <mergeCell ref="BB40:BC40"/>
    <mergeCell ref="BD40:BE40"/>
    <mergeCell ref="BF40:BG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D40:AE40"/>
    <mergeCell ref="BL49:BM49"/>
    <mergeCell ref="BN49:BO49"/>
    <mergeCell ref="BP49:BQ49"/>
    <mergeCell ref="AV49:AW49"/>
    <mergeCell ref="AX49:AY49"/>
    <mergeCell ref="AZ49:BA49"/>
    <mergeCell ref="BB49:BC49"/>
    <mergeCell ref="BD49:BE49"/>
    <mergeCell ref="R49:S49"/>
    <mergeCell ref="T49:U49"/>
    <mergeCell ref="V49:W49"/>
    <mergeCell ref="B58:C58"/>
    <mergeCell ref="D58:E58"/>
    <mergeCell ref="F58:G58"/>
    <mergeCell ref="H58:I58"/>
    <mergeCell ref="J58:K58"/>
    <mergeCell ref="L58:M58"/>
    <mergeCell ref="BF49:BG49"/>
    <mergeCell ref="BH49:BI49"/>
    <mergeCell ref="BJ49:BK49"/>
    <mergeCell ref="AJ49:AK49"/>
    <mergeCell ref="AL49:AM49"/>
    <mergeCell ref="AN49:AO49"/>
    <mergeCell ref="AP49:AQ49"/>
    <mergeCell ref="AR49:AS49"/>
    <mergeCell ref="AT49:AU49"/>
    <mergeCell ref="X49:Y49"/>
    <mergeCell ref="Z49:AA49"/>
    <mergeCell ref="AB49:AC49"/>
    <mergeCell ref="AD49:AE49"/>
    <mergeCell ref="AF49:AG49"/>
    <mergeCell ref="AH49:AI49"/>
    <mergeCell ref="L49:M49"/>
    <mergeCell ref="N49:O49"/>
    <mergeCell ref="P49:Q49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H58:BI58"/>
    <mergeCell ref="BJ58:BK58"/>
    <mergeCell ref="BL58:BM58"/>
    <mergeCell ref="BN58:BO58"/>
    <mergeCell ref="BP58:BQ58"/>
    <mergeCell ref="B67:C67"/>
    <mergeCell ref="D67:E67"/>
    <mergeCell ref="F67:G67"/>
    <mergeCell ref="H67:I67"/>
    <mergeCell ref="J67:K67"/>
    <mergeCell ref="AX58:AY58"/>
    <mergeCell ref="AZ58:BA58"/>
    <mergeCell ref="BB58:BC58"/>
    <mergeCell ref="BD58:BE58"/>
    <mergeCell ref="BF58:BG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BL67:BM67"/>
    <mergeCell ref="BN67:BO67"/>
    <mergeCell ref="BP67:BQ67"/>
    <mergeCell ref="AV67:AW67"/>
    <mergeCell ref="AX67:AY67"/>
    <mergeCell ref="AZ67:BA67"/>
    <mergeCell ref="BB67:BC67"/>
    <mergeCell ref="BD67:BE67"/>
    <mergeCell ref="R67:S67"/>
    <mergeCell ref="T67:U67"/>
    <mergeCell ref="V67:W67"/>
    <mergeCell ref="D85:E85"/>
    <mergeCell ref="F85:G85"/>
    <mergeCell ref="H85:I85"/>
    <mergeCell ref="J85:K85"/>
    <mergeCell ref="L85:M85"/>
    <mergeCell ref="BF67:BG67"/>
    <mergeCell ref="BH67:BI67"/>
    <mergeCell ref="BJ67:BK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T76:U76"/>
    <mergeCell ref="BN85:BO85"/>
    <mergeCell ref="BP85:BQ85"/>
    <mergeCell ref="B94:C94"/>
    <mergeCell ref="D94:E94"/>
    <mergeCell ref="F94:G94"/>
    <mergeCell ref="H94:I94"/>
    <mergeCell ref="J94:K94"/>
    <mergeCell ref="AX85:AY85"/>
    <mergeCell ref="AZ85:BA85"/>
    <mergeCell ref="BB85:BC85"/>
    <mergeCell ref="BD85:BE85"/>
    <mergeCell ref="BF85:BG85"/>
    <mergeCell ref="AL85:AM85"/>
    <mergeCell ref="AN85:AO85"/>
    <mergeCell ref="AP85:AQ85"/>
    <mergeCell ref="AR85:AS85"/>
    <mergeCell ref="AT85:AU85"/>
    <mergeCell ref="AV85:AW85"/>
    <mergeCell ref="Z85:AA85"/>
    <mergeCell ref="AB85:AC85"/>
    <mergeCell ref="AD85:AE85"/>
    <mergeCell ref="AF85:AG85"/>
    <mergeCell ref="AH85:AI85"/>
    <mergeCell ref="B85:C85"/>
    <mergeCell ref="L94:M94"/>
    <mergeCell ref="N94:O94"/>
    <mergeCell ref="P94:Q94"/>
    <mergeCell ref="R94:S94"/>
    <mergeCell ref="T94:U94"/>
    <mergeCell ref="V94:W94"/>
    <mergeCell ref="BH85:BI85"/>
    <mergeCell ref="BJ85:BK85"/>
    <mergeCell ref="BL85:BM85"/>
    <mergeCell ref="AJ85:AK85"/>
    <mergeCell ref="N85:O85"/>
    <mergeCell ref="P85:Q85"/>
    <mergeCell ref="R85:S85"/>
    <mergeCell ref="T85:U85"/>
    <mergeCell ref="V85:W85"/>
    <mergeCell ref="X85:Y85"/>
    <mergeCell ref="AJ94:AK94"/>
    <mergeCell ref="AL94:AM94"/>
    <mergeCell ref="AN94:AO94"/>
    <mergeCell ref="AP94:AQ94"/>
    <mergeCell ref="AR94:AS94"/>
    <mergeCell ref="AT94:AU94"/>
    <mergeCell ref="X94:Y94"/>
    <mergeCell ref="Z94:AA94"/>
    <mergeCell ref="BP94:BQ94"/>
    <mergeCell ref="AV94:AW94"/>
    <mergeCell ref="AX94:AY94"/>
    <mergeCell ref="AZ94:BA94"/>
    <mergeCell ref="BB94:BC94"/>
    <mergeCell ref="BD94:BE94"/>
    <mergeCell ref="AB94:AC94"/>
    <mergeCell ref="AD94:AE94"/>
    <mergeCell ref="AF94:AG94"/>
    <mergeCell ref="AH94:AI94"/>
    <mergeCell ref="BF94:BG94"/>
    <mergeCell ref="BH94:BI94"/>
    <mergeCell ref="BJ94:BK94"/>
    <mergeCell ref="BL94:BM94"/>
    <mergeCell ref="BN94:BO94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BB76:BC76"/>
    <mergeCell ref="BD76:BE76"/>
    <mergeCell ref="BF76:BG76"/>
    <mergeCell ref="BH76:BI76"/>
    <mergeCell ref="BJ76:BK76"/>
    <mergeCell ref="BL76:BM76"/>
    <mergeCell ref="BN76:BO76"/>
    <mergeCell ref="BP76:BQ76"/>
    <mergeCell ref="AL76:AM76"/>
    <mergeCell ref="AN76:AO76"/>
    <mergeCell ref="AP76:AQ76"/>
    <mergeCell ref="AR76:AS76"/>
    <mergeCell ref="AT76:AU76"/>
    <mergeCell ref="AV76:AW76"/>
    <mergeCell ref="AX76:AY76"/>
    <mergeCell ref="AZ76:BA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45.140625" style="7" customWidth="1"/>
    <col min="2" max="69" width="16" style="7" customWidth="1"/>
    <col min="70" max="16384" width="9.140625" style="7"/>
  </cols>
  <sheetData>
    <row r="1" spans="1:69" ht="18.75" x14ac:dyDescent="0.3">
      <c r="A1" s="5" t="s">
        <v>239</v>
      </c>
    </row>
    <row r="2" spans="1:69" x14ac:dyDescent="0.25">
      <c r="A2" s="18" t="s">
        <v>46</v>
      </c>
    </row>
    <row r="3" spans="1:69" x14ac:dyDescent="0.25">
      <c r="A3" s="33" t="s">
        <v>228</v>
      </c>
    </row>
    <row r="4" spans="1:69" x14ac:dyDescent="0.25">
      <c r="A4" s="3" t="s">
        <v>0</v>
      </c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295</v>
      </c>
      <c r="I4" s="112"/>
      <c r="J4" s="111" t="s">
        <v>5</v>
      </c>
      <c r="K4" s="112"/>
      <c r="L4" s="111" t="s">
        <v>6</v>
      </c>
      <c r="M4" s="112"/>
      <c r="N4" s="111" t="s">
        <v>7</v>
      </c>
      <c r="O4" s="112"/>
      <c r="P4" s="111" t="s">
        <v>309</v>
      </c>
      <c r="Q4" s="112"/>
      <c r="R4" s="111" t="s">
        <v>9</v>
      </c>
      <c r="S4" s="112"/>
      <c r="T4" s="111" t="s">
        <v>10</v>
      </c>
      <c r="U4" s="112"/>
      <c r="V4" s="111" t="s">
        <v>11</v>
      </c>
      <c r="W4" s="112"/>
      <c r="X4" s="111" t="s">
        <v>12</v>
      </c>
      <c r="Y4" s="112"/>
      <c r="Z4" s="111" t="s">
        <v>13</v>
      </c>
      <c r="AA4" s="112"/>
      <c r="AB4" s="111" t="s">
        <v>14</v>
      </c>
      <c r="AC4" s="112"/>
      <c r="AD4" s="111" t="s">
        <v>15</v>
      </c>
      <c r="AE4" s="112"/>
      <c r="AF4" s="111" t="s">
        <v>16</v>
      </c>
      <c r="AG4" s="112"/>
      <c r="AH4" s="111" t="s">
        <v>17</v>
      </c>
      <c r="AI4" s="112"/>
      <c r="AJ4" s="111" t="s">
        <v>18</v>
      </c>
      <c r="AK4" s="112"/>
      <c r="AL4" s="111" t="s">
        <v>293</v>
      </c>
      <c r="AM4" s="112"/>
      <c r="AN4" s="111" t="s">
        <v>19</v>
      </c>
      <c r="AO4" s="112"/>
      <c r="AP4" s="111" t="s">
        <v>20</v>
      </c>
      <c r="AQ4" s="112"/>
      <c r="AR4" s="111" t="s">
        <v>21</v>
      </c>
      <c r="AS4" s="112"/>
      <c r="AT4" s="111" t="s">
        <v>22</v>
      </c>
      <c r="AU4" s="112"/>
      <c r="AV4" s="111" t="s">
        <v>23</v>
      </c>
      <c r="AW4" s="112"/>
      <c r="AX4" s="111" t="s">
        <v>24</v>
      </c>
      <c r="AY4" s="112"/>
      <c r="AZ4" s="111" t="s">
        <v>25</v>
      </c>
      <c r="BA4" s="112"/>
      <c r="BB4" s="111" t="s">
        <v>26</v>
      </c>
      <c r="BC4" s="112"/>
      <c r="BD4" s="111" t="s">
        <v>27</v>
      </c>
      <c r="BE4" s="112"/>
      <c r="BF4" s="111" t="s">
        <v>28</v>
      </c>
      <c r="BG4" s="112"/>
      <c r="BH4" s="111" t="s">
        <v>29</v>
      </c>
      <c r="BI4" s="112"/>
      <c r="BJ4" s="111" t="s">
        <v>30</v>
      </c>
      <c r="BK4" s="112"/>
      <c r="BL4" s="115" t="s">
        <v>31</v>
      </c>
      <c r="BM4" s="116"/>
      <c r="BN4" s="111" t="s">
        <v>32</v>
      </c>
      <c r="BO4" s="112"/>
      <c r="BP4" s="113" t="s">
        <v>33</v>
      </c>
      <c r="BQ4" s="114"/>
    </row>
    <row r="5" spans="1:69" ht="30" x14ac:dyDescent="0.25">
      <c r="A5" s="3"/>
      <c r="B5" s="66" t="s">
        <v>298</v>
      </c>
      <c r="C5" s="67" t="s">
        <v>299</v>
      </c>
      <c r="D5" s="66" t="s">
        <v>298</v>
      </c>
      <c r="E5" s="67" t="s">
        <v>299</v>
      </c>
      <c r="F5" s="66" t="s">
        <v>298</v>
      </c>
      <c r="G5" s="67" t="s">
        <v>299</v>
      </c>
      <c r="H5" s="66" t="s">
        <v>298</v>
      </c>
      <c r="I5" s="67" t="s">
        <v>299</v>
      </c>
      <c r="J5" s="66" t="s">
        <v>298</v>
      </c>
      <c r="K5" s="67" t="s">
        <v>299</v>
      </c>
      <c r="L5" s="66" t="s">
        <v>298</v>
      </c>
      <c r="M5" s="67" t="s">
        <v>299</v>
      </c>
      <c r="N5" s="66" t="s">
        <v>298</v>
      </c>
      <c r="O5" s="67" t="s">
        <v>299</v>
      </c>
      <c r="P5" s="66" t="s">
        <v>298</v>
      </c>
      <c r="Q5" s="67" t="s">
        <v>299</v>
      </c>
      <c r="R5" s="66" t="s">
        <v>298</v>
      </c>
      <c r="S5" s="67" t="s">
        <v>299</v>
      </c>
      <c r="T5" s="66" t="s">
        <v>298</v>
      </c>
      <c r="U5" s="67" t="s">
        <v>299</v>
      </c>
      <c r="V5" s="66" t="s">
        <v>298</v>
      </c>
      <c r="W5" s="67" t="s">
        <v>299</v>
      </c>
      <c r="X5" s="66" t="s">
        <v>298</v>
      </c>
      <c r="Y5" s="67" t="s">
        <v>299</v>
      </c>
      <c r="Z5" s="66" t="s">
        <v>298</v>
      </c>
      <c r="AA5" s="67" t="s">
        <v>299</v>
      </c>
      <c r="AB5" s="66" t="s">
        <v>298</v>
      </c>
      <c r="AC5" s="67" t="s">
        <v>299</v>
      </c>
      <c r="AD5" s="66" t="s">
        <v>298</v>
      </c>
      <c r="AE5" s="67" t="s">
        <v>299</v>
      </c>
      <c r="AF5" s="66" t="s">
        <v>298</v>
      </c>
      <c r="AG5" s="67" t="s">
        <v>299</v>
      </c>
      <c r="AH5" s="66" t="s">
        <v>298</v>
      </c>
      <c r="AI5" s="67" t="s">
        <v>299</v>
      </c>
      <c r="AJ5" s="66" t="s">
        <v>298</v>
      </c>
      <c r="AK5" s="67" t="s">
        <v>299</v>
      </c>
      <c r="AL5" s="66" t="s">
        <v>298</v>
      </c>
      <c r="AM5" s="67" t="s">
        <v>299</v>
      </c>
      <c r="AN5" s="66" t="s">
        <v>298</v>
      </c>
      <c r="AO5" s="67" t="s">
        <v>299</v>
      </c>
      <c r="AP5" s="66" t="s">
        <v>298</v>
      </c>
      <c r="AQ5" s="67" t="s">
        <v>299</v>
      </c>
      <c r="AR5" s="66" t="s">
        <v>298</v>
      </c>
      <c r="AS5" s="67" t="s">
        <v>299</v>
      </c>
      <c r="AT5" s="66" t="s">
        <v>298</v>
      </c>
      <c r="AU5" s="67" t="s">
        <v>299</v>
      </c>
      <c r="AV5" s="66" t="s">
        <v>298</v>
      </c>
      <c r="AW5" s="67" t="s">
        <v>299</v>
      </c>
      <c r="AX5" s="66" t="s">
        <v>298</v>
      </c>
      <c r="AY5" s="67" t="s">
        <v>299</v>
      </c>
      <c r="AZ5" s="66" t="s">
        <v>298</v>
      </c>
      <c r="BA5" s="67" t="s">
        <v>299</v>
      </c>
      <c r="BB5" s="66" t="s">
        <v>298</v>
      </c>
      <c r="BC5" s="67" t="s">
        <v>299</v>
      </c>
      <c r="BD5" s="66" t="s">
        <v>298</v>
      </c>
      <c r="BE5" s="67" t="s">
        <v>299</v>
      </c>
      <c r="BF5" s="66" t="s">
        <v>298</v>
      </c>
      <c r="BG5" s="67" t="s">
        <v>299</v>
      </c>
      <c r="BH5" s="66" t="s">
        <v>298</v>
      </c>
      <c r="BI5" s="67" t="s">
        <v>299</v>
      </c>
      <c r="BJ5" s="66" t="s">
        <v>298</v>
      </c>
      <c r="BK5" s="67" t="s">
        <v>299</v>
      </c>
      <c r="BL5" s="66" t="s">
        <v>298</v>
      </c>
      <c r="BM5" s="67" t="s">
        <v>299</v>
      </c>
      <c r="BN5" s="66" t="s">
        <v>298</v>
      </c>
      <c r="BO5" s="67" t="s">
        <v>299</v>
      </c>
      <c r="BP5" s="66" t="s">
        <v>298</v>
      </c>
      <c r="BQ5" s="67" t="s">
        <v>299</v>
      </c>
    </row>
    <row r="6" spans="1:69" x14ac:dyDescent="0.25">
      <c r="A6" s="26" t="s">
        <v>240</v>
      </c>
      <c r="B6" s="10"/>
      <c r="C6" s="10"/>
      <c r="D6" s="10"/>
      <c r="E6" s="10"/>
      <c r="F6" s="10"/>
      <c r="G6" s="10"/>
      <c r="H6" s="10"/>
      <c r="I6" s="10"/>
      <c r="J6" s="10">
        <v>1346760</v>
      </c>
      <c r="K6" s="10">
        <v>3918133</v>
      </c>
      <c r="L6" s="10">
        <v>283808</v>
      </c>
      <c r="M6" s="10">
        <v>496315</v>
      </c>
      <c r="N6" s="10">
        <v>187384</v>
      </c>
      <c r="O6" s="10">
        <v>612748</v>
      </c>
      <c r="P6" s="10">
        <v>1418</v>
      </c>
      <c r="Q6" s="10">
        <v>3978</v>
      </c>
      <c r="R6" s="10"/>
      <c r="S6" s="10">
        <v>4</v>
      </c>
      <c r="T6" s="10"/>
      <c r="U6" s="10"/>
      <c r="V6" s="10">
        <v>792522</v>
      </c>
      <c r="W6" s="10">
        <v>1632286</v>
      </c>
      <c r="X6" s="10">
        <v>49690</v>
      </c>
      <c r="Y6" s="10">
        <v>51000</v>
      </c>
      <c r="Z6" s="10">
        <v>1360589</v>
      </c>
      <c r="AA6" s="10">
        <v>3458660</v>
      </c>
      <c r="AB6" s="10">
        <v>2004277</v>
      </c>
      <c r="AC6" s="10">
        <v>6883069</v>
      </c>
      <c r="AD6" s="10">
        <v>730162</v>
      </c>
      <c r="AE6" s="10">
        <v>2391171</v>
      </c>
      <c r="AF6" s="10">
        <v>51927</v>
      </c>
      <c r="AG6" s="10">
        <v>99844</v>
      </c>
      <c r="AH6" s="10">
        <v>40188</v>
      </c>
      <c r="AI6" s="10">
        <v>194830</v>
      </c>
      <c r="AJ6" s="10">
        <v>79389</v>
      </c>
      <c r="AK6" s="10">
        <v>205892</v>
      </c>
      <c r="AL6" s="10"/>
      <c r="AM6" s="10"/>
      <c r="AN6" s="10"/>
      <c r="AO6" s="10"/>
      <c r="AP6" s="155">
        <v>2280298</v>
      </c>
      <c r="AQ6" s="155">
        <v>8729211</v>
      </c>
      <c r="AR6" s="10">
        <v>5617103</v>
      </c>
      <c r="AS6" s="10">
        <v>17377807</v>
      </c>
      <c r="AT6" s="10">
        <v>1538229</v>
      </c>
      <c r="AU6" s="10">
        <v>6510135</v>
      </c>
      <c r="AV6" s="10">
        <v>1752</v>
      </c>
      <c r="AW6" s="10">
        <v>3188</v>
      </c>
      <c r="AX6" s="10">
        <v>544199</v>
      </c>
      <c r="AY6" s="10">
        <v>2049858</v>
      </c>
      <c r="AZ6" s="10"/>
      <c r="BA6" s="10"/>
      <c r="BB6" s="10">
        <v>332896</v>
      </c>
      <c r="BC6" s="10">
        <v>1404573</v>
      </c>
      <c r="BD6" s="10">
        <v>554042</v>
      </c>
      <c r="BE6" s="10">
        <v>2572217</v>
      </c>
      <c r="BF6" s="36">
        <v>12496</v>
      </c>
      <c r="BG6" s="36">
        <v>117019</v>
      </c>
      <c r="BH6" s="10"/>
      <c r="BI6" s="10"/>
      <c r="BJ6" s="10">
        <v>1143885</v>
      </c>
      <c r="BK6" s="10">
        <v>3312697</v>
      </c>
      <c r="BL6" s="10">
        <v>2322149</v>
      </c>
      <c r="BM6" s="10">
        <v>8060224</v>
      </c>
      <c r="BN6" s="10">
        <v>168889</v>
      </c>
      <c r="BO6" s="10">
        <v>385509</v>
      </c>
      <c r="BP6" s="82">
        <f>B6+D6+F6+H6+J6+L6+N6+P6+R6+T6+V6+X6+Z6+AB6+AD6+AF6+AH6+AJ6+AL6+AN6+AP6+AR6+AT6+AV6+AX6+AZ6+BB6+BD6+BF6+BH6+BJ6+BL6+BN6</f>
        <v>21444052</v>
      </c>
      <c r="BQ6" s="82">
        <f>C6+E6+G6+I6+K6+M6+O6+Q6+S6+U6+W6+Y6+AA6+AC6+AE6+AG6+AI6+AK6+AM6+AO6+AQ6+AS6+AU6+AW6+AY6+BA6+BC6+BE6+BG6+BI6+BK6+BM6+BO6</f>
        <v>70470368</v>
      </c>
    </row>
    <row r="7" spans="1:69" x14ac:dyDescent="0.25">
      <c r="A7" s="10" t="s">
        <v>291</v>
      </c>
      <c r="B7" s="10"/>
      <c r="C7" s="10"/>
      <c r="D7" s="10"/>
      <c r="E7" s="10"/>
      <c r="F7" s="10"/>
      <c r="G7" s="10"/>
      <c r="H7" s="10"/>
      <c r="I7" s="10"/>
      <c r="J7" s="10">
        <v>-117161</v>
      </c>
      <c r="K7" s="10">
        <v>1777548</v>
      </c>
      <c r="L7" s="10">
        <v>15332</v>
      </c>
      <c r="M7" s="10">
        <v>338428</v>
      </c>
      <c r="N7" s="10">
        <v>286848</v>
      </c>
      <c r="O7" s="10">
        <v>286848</v>
      </c>
      <c r="P7" s="10">
        <v>34692</v>
      </c>
      <c r="Q7" s="10">
        <v>34692</v>
      </c>
      <c r="R7" s="10">
        <v>30765</v>
      </c>
      <c r="S7" s="10">
        <v>30765</v>
      </c>
      <c r="T7" s="10"/>
      <c r="U7" s="10"/>
      <c r="V7" s="10">
        <v>700302</v>
      </c>
      <c r="W7" s="10">
        <v>700302</v>
      </c>
      <c r="X7" s="10">
        <v>36212</v>
      </c>
      <c r="Y7" s="10">
        <v>174730</v>
      </c>
      <c r="Z7" s="10">
        <v>10169564</v>
      </c>
      <c r="AA7" s="10">
        <v>10169564</v>
      </c>
      <c r="AB7" s="10">
        <v>19458908</v>
      </c>
      <c r="AC7" s="10">
        <v>19458908</v>
      </c>
      <c r="AD7" s="10">
        <v>-75297</v>
      </c>
      <c r="AE7" s="10">
        <v>668345</v>
      </c>
      <c r="AF7" s="10">
        <v>66041</v>
      </c>
      <c r="AG7" s="10">
        <v>66041</v>
      </c>
      <c r="AH7" s="10">
        <v>597496</v>
      </c>
      <c r="AI7" s="10">
        <v>597496</v>
      </c>
      <c r="AJ7" s="10">
        <v>1725286</v>
      </c>
      <c r="AK7" s="10">
        <v>1725286</v>
      </c>
      <c r="AL7" s="10"/>
      <c r="AM7" s="10"/>
      <c r="AN7" s="10"/>
      <c r="AO7" s="10"/>
      <c r="AP7" s="155">
        <v>728156</v>
      </c>
      <c r="AQ7" s="155">
        <v>12381475</v>
      </c>
      <c r="AR7" s="10">
        <v>55799175</v>
      </c>
      <c r="AS7" s="10">
        <v>55799175</v>
      </c>
      <c r="AT7" s="10">
        <v>-350739</v>
      </c>
      <c r="AU7" s="10">
        <v>23824005</v>
      </c>
      <c r="AV7" s="10">
        <v>-581</v>
      </c>
      <c r="AW7" s="10">
        <v>5216</v>
      </c>
      <c r="AX7" s="10">
        <v>1051937</v>
      </c>
      <c r="AY7" s="10">
        <v>1051937</v>
      </c>
      <c r="AZ7" s="10"/>
      <c r="BA7" s="10"/>
      <c r="BB7" s="10">
        <v>-54360</v>
      </c>
      <c r="BC7" s="10">
        <v>2181107</v>
      </c>
      <c r="BD7" s="10">
        <v>1318931</v>
      </c>
      <c r="BE7" s="10">
        <v>1318931</v>
      </c>
      <c r="BF7" s="36">
        <v>150124</v>
      </c>
      <c r="BG7" s="36">
        <v>150124</v>
      </c>
      <c r="BH7" s="10"/>
      <c r="BI7" s="10"/>
      <c r="BJ7" s="10">
        <v>1026333</v>
      </c>
      <c r="BK7" s="10">
        <v>1026333</v>
      </c>
      <c r="BL7" s="10">
        <v>18859051</v>
      </c>
      <c r="BM7" s="10">
        <v>18859051</v>
      </c>
      <c r="BN7" s="10">
        <v>-85520</v>
      </c>
      <c r="BO7" s="10">
        <v>366796</v>
      </c>
      <c r="BP7" s="82">
        <f t="shared" ref="BP7:BP12" si="0">B7+D7+F7+H7+J7+L7+N7+P7+R7+T7+V7+X7+Z7+AB7+AD7+AF7+AH7+AJ7+AL7+AN7+AP7+AR7+AT7+AV7+AX7+AZ7+BB7+BD7+BF7+BH7+BJ7+BL7+BN7</f>
        <v>111371495</v>
      </c>
      <c r="BQ7" s="82">
        <f t="shared" ref="BQ7:BQ12" si="1">C7+E7+G7+I7+K7+M7+O7+Q7+S7+U7+W7+Y7+AA7+AC7+AE7+AG7+AI7+AK7+AM7+AO7+AQ7+AS7+AU7+AW7+AY7+BA7+BC7+BE7+BG7+BI7+BK7+BM7+BO7</f>
        <v>152993103</v>
      </c>
    </row>
    <row r="8" spans="1:69" x14ac:dyDescent="0.25">
      <c r="A8" s="10" t="s">
        <v>290</v>
      </c>
      <c r="B8" s="10"/>
      <c r="C8" s="10"/>
      <c r="D8" s="10"/>
      <c r="E8" s="10"/>
      <c r="F8" s="10"/>
      <c r="G8" s="10"/>
      <c r="H8" s="10"/>
      <c r="I8" s="10"/>
      <c r="J8" s="10"/>
      <c r="K8" s="10">
        <v>1508662</v>
      </c>
      <c r="L8" s="10"/>
      <c r="M8" s="10">
        <v>256889</v>
      </c>
      <c r="N8" s="10">
        <v>348126</v>
      </c>
      <c r="O8" s="10">
        <v>227520</v>
      </c>
      <c r="P8" s="10">
        <v>-30224</v>
      </c>
      <c r="Q8" s="10">
        <v>-71269</v>
      </c>
      <c r="R8" s="10">
        <v>19831</v>
      </c>
      <c r="S8" s="10">
        <v>15895</v>
      </c>
      <c r="T8" s="10"/>
      <c r="U8" s="10"/>
      <c r="V8" s="10">
        <v>700764</v>
      </c>
      <c r="W8" s="10">
        <v>637501</v>
      </c>
      <c r="X8" s="10"/>
      <c r="Y8" s="10">
        <v>79663</v>
      </c>
      <c r="Z8" s="10">
        <v>-10152916</v>
      </c>
      <c r="AA8" s="10">
        <v>-8154893</v>
      </c>
      <c r="AB8" s="10">
        <v>18487781</v>
      </c>
      <c r="AC8" s="10">
        <v>17357167</v>
      </c>
      <c r="AD8" s="10"/>
      <c r="AE8" s="10">
        <v>815656</v>
      </c>
      <c r="AF8" s="10">
        <v>60442</v>
      </c>
      <c r="AG8" s="10">
        <v>26672</v>
      </c>
      <c r="AH8" s="10">
        <v>599191</v>
      </c>
      <c r="AI8" s="10">
        <v>1104635</v>
      </c>
      <c r="AJ8" s="10">
        <v>-1803368</v>
      </c>
      <c r="AK8" s="10">
        <v>-1392269</v>
      </c>
      <c r="AL8" s="10"/>
      <c r="AM8" s="10"/>
      <c r="AN8" s="10"/>
      <c r="AO8" s="10"/>
      <c r="AP8" s="155"/>
      <c r="AQ8" s="155">
        <v>15448690</v>
      </c>
      <c r="AR8" s="10">
        <v>53732343</v>
      </c>
      <c r="AS8" s="10">
        <v>47966375</v>
      </c>
      <c r="AT8" s="10">
        <v>0</v>
      </c>
      <c r="AU8" s="10">
        <v>23579151</v>
      </c>
      <c r="AV8" s="10"/>
      <c r="AW8" s="10">
        <v>2751</v>
      </c>
      <c r="AX8" s="10">
        <v>1123831</v>
      </c>
      <c r="AY8" s="10">
        <v>941474</v>
      </c>
      <c r="AZ8" s="10"/>
      <c r="BA8" s="10"/>
      <c r="BB8" s="10"/>
      <c r="BC8" s="10">
        <v>-2345951</v>
      </c>
      <c r="BD8" s="10">
        <v>1429571</v>
      </c>
      <c r="BE8" s="10">
        <v>1090749</v>
      </c>
      <c r="BF8" s="36">
        <v>159976</v>
      </c>
      <c r="BG8" s="36">
        <v>186350</v>
      </c>
      <c r="BH8" s="10"/>
      <c r="BI8" s="10"/>
      <c r="BJ8" s="10">
        <v>889615</v>
      </c>
      <c r="BK8" s="10">
        <v>756109</v>
      </c>
      <c r="BL8" s="10">
        <v>18464114</v>
      </c>
      <c r="BM8" s="10">
        <v>14350874</v>
      </c>
      <c r="BN8" s="10"/>
      <c r="BO8" s="10">
        <v>320604</v>
      </c>
      <c r="BP8" s="82">
        <f t="shared" si="0"/>
        <v>84029077</v>
      </c>
      <c r="BQ8" s="82">
        <f t="shared" si="1"/>
        <v>114709005</v>
      </c>
    </row>
    <row r="9" spans="1:69" x14ac:dyDescent="0.25">
      <c r="A9" s="26" t="s">
        <v>294</v>
      </c>
      <c r="B9" s="10"/>
      <c r="C9" s="10"/>
      <c r="D9" s="10"/>
      <c r="E9" s="10"/>
      <c r="F9" s="10"/>
      <c r="G9" s="10"/>
      <c r="H9" s="10"/>
      <c r="I9" s="10"/>
      <c r="J9" s="10">
        <v>1229599</v>
      </c>
      <c r="K9" s="10">
        <v>4187019</v>
      </c>
      <c r="L9" s="10"/>
      <c r="M9" s="10"/>
      <c r="N9" s="10">
        <v>126106</v>
      </c>
      <c r="O9" s="10">
        <v>672076</v>
      </c>
      <c r="P9" s="10">
        <v>5886</v>
      </c>
      <c r="Q9" s="10">
        <v>-32599</v>
      </c>
      <c r="R9" s="10">
        <v>10934</v>
      </c>
      <c r="S9" s="10">
        <v>14874</v>
      </c>
      <c r="T9" s="10"/>
      <c r="U9" s="10"/>
      <c r="V9" s="10"/>
      <c r="W9" s="10"/>
      <c r="X9" s="10"/>
      <c r="Y9" s="10"/>
      <c r="Z9" s="10">
        <v>1377237</v>
      </c>
      <c r="AA9" s="10">
        <v>5473331</v>
      </c>
      <c r="AB9" s="10">
        <v>2975403</v>
      </c>
      <c r="AC9" s="10">
        <v>8984809</v>
      </c>
      <c r="AD9" s="10">
        <v>654865</v>
      </c>
      <c r="AE9" s="10">
        <v>2243860</v>
      </c>
      <c r="AF9" s="10">
        <v>57526</v>
      </c>
      <c r="AG9" s="10">
        <v>139213</v>
      </c>
      <c r="AH9" s="10">
        <v>38493</v>
      </c>
      <c r="AI9" s="10">
        <v>-312309</v>
      </c>
      <c r="AJ9" s="10">
        <v>1307</v>
      </c>
      <c r="AK9" s="10">
        <v>538909</v>
      </c>
      <c r="AL9" s="10"/>
      <c r="AM9" s="10"/>
      <c r="AN9" s="10"/>
      <c r="AO9" s="10"/>
      <c r="AP9" s="10"/>
      <c r="AQ9" s="10"/>
      <c r="AR9" s="10">
        <v>7683934</v>
      </c>
      <c r="AS9" s="10">
        <v>25210606</v>
      </c>
      <c r="AT9" s="10">
        <v>1187490</v>
      </c>
      <c r="AU9" s="10">
        <v>6754989</v>
      </c>
      <c r="AV9" s="10">
        <v>1171</v>
      </c>
      <c r="AW9" s="10">
        <v>5652</v>
      </c>
      <c r="AX9" s="10"/>
      <c r="AY9" s="10"/>
      <c r="AZ9" s="10"/>
      <c r="BA9" s="10"/>
      <c r="BB9" s="10">
        <v>278536</v>
      </c>
      <c r="BC9" s="10">
        <v>1239729</v>
      </c>
      <c r="BD9" s="10"/>
      <c r="BE9" s="10"/>
      <c r="BF9" s="10"/>
      <c r="BG9" s="10"/>
      <c r="BH9" s="10"/>
      <c r="BI9" s="10"/>
      <c r="BJ9" s="10">
        <v>1280603</v>
      </c>
      <c r="BK9" s="10">
        <v>3582921</v>
      </c>
      <c r="BL9" s="10">
        <v>2717086</v>
      </c>
      <c r="BM9" s="10">
        <v>12568401</v>
      </c>
      <c r="BN9" s="10">
        <v>83369</v>
      </c>
      <c r="BO9" s="10">
        <v>431701</v>
      </c>
      <c r="BP9" s="82">
        <f t="shared" si="0"/>
        <v>19709545</v>
      </c>
      <c r="BQ9" s="82">
        <f t="shared" si="1"/>
        <v>71703182</v>
      </c>
    </row>
    <row r="10" spans="1:69" x14ac:dyDescent="0.25">
      <c r="A10" s="26" t="s">
        <v>288</v>
      </c>
      <c r="B10" s="10"/>
      <c r="C10" s="10"/>
      <c r="D10" s="10"/>
      <c r="E10" s="10"/>
      <c r="F10" s="10"/>
      <c r="G10" s="10"/>
      <c r="H10" s="10"/>
      <c r="I10" s="10"/>
      <c r="J10" s="10">
        <v>11269</v>
      </c>
      <c r="K10" s="10">
        <v>41894</v>
      </c>
      <c r="L10" s="10">
        <v>24965</v>
      </c>
      <c r="M10" s="10">
        <v>61953</v>
      </c>
      <c r="N10" s="10"/>
      <c r="O10" s="10">
        <v>-1331</v>
      </c>
      <c r="P10" s="10"/>
      <c r="Q10" s="10"/>
      <c r="R10" s="10">
        <v>72</v>
      </c>
      <c r="S10" s="10">
        <v>107</v>
      </c>
      <c r="T10" s="10"/>
      <c r="U10" s="10"/>
      <c r="V10" s="10">
        <v>20068</v>
      </c>
      <c r="W10" s="10">
        <v>121250</v>
      </c>
      <c r="X10" s="10">
        <v>-18018</v>
      </c>
      <c r="Y10" s="10">
        <v>134262</v>
      </c>
      <c r="Z10" s="10"/>
      <c r="AA10" s="10"/>
      <c r="AB10" s="10">
        <v>73559</v>
      </c>
      <c r="AC10" s="10">
        <v>133958</v>
      </c>
      <c r="AD10" s="10">
        <v>54112</v>
      </c>
      <c r="AE10" s="10">
        <v>186012</v>
      </c>
      <c r="AF10" s="10"/>
      <c r="AG10" s="10">
        <v>35</v>
      </c>
      <c r="AH10" s="10">
        <v>0</v>
      </c>
      <c r="AI10" s="10">
        <v>938</v>
      </c>
      <c r="AJ10" s="10"/>
      <c r="AK10" s="10"/>
      <c r="AL10" s="10"/>
      <c r="AM10" s="10"/>
      <c r="AN10" s="10"/>
      <c r="AO10" s="10"/>
      <c r="AP10" s="155">
        <v>152613</v>
      </c>
      <c r="AQ10" s="155">
        <v>951020</v>
      </c>
      <c r="AR10" s="10"/>
      <c r="AS10" s="10"/>
      <c r="AT10" s="10">
        <v>413066</v>
      </c>
      <c r="AU10" s="10">
        <v>1147779</v>
      </c>
      <c r="AV10" s="10">
        <v>0</v>
      </c>
      <c r="AW10" s="10">
        <v>3</v>
      </c>
      <c r="AX10" s="10">
        <v>36803</v>
      </c>
      <c r="AY10" s="10">
        <v>137018</v>
      </c>
      <c r="AZ10" s="10"/>
      <c r="BA10" s="10"/>
      <c r="BB10" s="10">
        <v>11314</v>
      </c>
      <c r="BC10" s="10">
        <v>33176</v>
      </c>
      <c r="BD10" s="10">
        <v>1</v>
      </c>
      <c r="BE10" s="10">
        <v>55</v>
      </c>
      <c r="BF10" s="10"/>
      <c r="BG10" s="10">
        <v>70</v>
      </c>
      <c r="BH10" s="10"/>
      <c r="BI10" s="10"/>
      <c r="BJ10" s="10">
        <v>188208</v>
      </c>
      <c r="BK10" s="10">
        <v>489241</v>
      </c>
      <c r="BL10" s="10">
        <v>121605</v>
      </c>
      <c r="BM10" s="10">
        <v>1214825</v>
      </c>
      <c r="BN10" s="10"/>
      <c r="BO10" s="10">
        <v>35</v>
      </c>
      <c r="BP10" s="82">
        <f t="shared" si="0"/>
        <v>1089637</v>
      </c>
      <c r="BQ10" s="82">
        <f t="shared" si="1"/>
        <v>4652300</v>
      </c>
    </row>
    <row r="11" spans="1:69" x14ac:dyDescent="0.25">
      <c r="A11" s="26" t="s">
        <v>289</v>
      </c>
      <c r="B11" s="10"/>
      <c r="C11" s="10"/>
      <c r="D11" s="10"/>
      <c r="E11" s="10"/>
      <c r="F11" s="10"/>
      <c r="G11" s="10"/>
      <c r="H11" s="10"/>
      <c r="I11" s="10"/>
      <c r="J11" s="10">
        <v>923330</v>
      </c>
      <c r="K11" s="10">
        <v>2406584</v>
      </c>
      <c r="L11" s="10">
        <v>247773</v>
      </c>
      <c r="M11" s="10">
        <v>424360</v>
      </c>
      <c r="N11" s="10">
        <v>78175</v>
      </c>
      <c r="O11" s="10">
        <v>265221</v>
      </c>
      <c r="P11" s="10"/>
      <c r="Q11" s="10"/>
      <c r="R11" s="10">
        <v>6516</v>
      </c>
      <c r="S11" s="10">
        <v>-3283</v>
      </c>
      <c r="T11" s="10"/>
      <c r="U11" s="10"/>
      <c r="V11" s="10">
        <v>729442</v>
      </c>
      <c r="W11" s="10">
        <v>1327768</v>
      </c>
      <c r="X11" s="10">
        <v>27446</v>
      </c>
      <c r="Y11" s="10">
        <v>162674</v>
      </c>
      <c r="Z11" s="10"/>
      <c r="AA11" s="10"/>
      <c r="AB11" s="10"/>
      <c r="AC11" s="10"/>
      <c r="AD11" s="10">
        <v>681353</v>
      </c>
      <c r="AE11" s="10">
        <v>2159340</v>
      </c>
      <c r="AF11" s="10">
        <v>42891</v>
      </c>
      <c r="AG11" s="10">
        <v>79700</v>
      </c>
      <c r="AH11" s="10">
        <v>28065</v>
      </c>
      <c r="AI11" s="10">
        <v>154846</v>
      </c>
      <c r="AJ11" s="10"/>
      <c r="AK11" s="10"/>
      <c r="AL11" s="10"/>
      <c r="AM11" s="10"/>
      <c r="AN11" s="10"/>
      <c r="AO11" s="10"/>
      <c r="AP11" s="155">
        <v>1209263</v>
      </c>
      <c r="AQ11" s="155">
        <v>1582900</v>
      </c>
      <c r="AR11" s="10"/>
      <c r="AS11" s="10"/>
      <c r="AT11" s="10">
        <v>281190</v>
      </c>
      <c r="AU11" s="10">
        <v>2565999</v>
      </c>
      <c r="AV11" s="10">
        <v>1336</v>
      </c>
      <c r="AW11" s="10">
        <v>2438</v>
      </c>
      <c r="AX11" s="10">
        <v>403437</v>
      </c>
      <c r="AY11" s="10">
        <v>1671530</v>
      </c>
      <c r="AZ11" s="10"/>
      <c r="BA11" s="10"/>
      <c r="BB11" s="10"/>
      <c r="BC11" s="10"/>
      <c r="BD11" s="10">
        <v>334142</v>
      </c>
      <c r="BE11" s="10">
        <v>1698591</v>
      </c>
      <c r="BF11" s="36">
        <v>3134</v>
      </c>
      <c r="BG11" s="36">
        <v>73555</v>
      </c>
      <c r="BH11" s="10"/>
      <c r="BI11" s="10"/>
      <c r="BJ11" s="10">
        <v>1116627</v>
      </c>
      <c r="BK11" s="10">
        <v>3100084</v>
      </c>
      <c r="BL11" s="10">
        <v>502244</v>
      </c>
      <c r="BM11" s="10">
        <v>3405700</v>
      </c>
      <c r="BN11" s="10">
        <v>93658</v>
      </c>
      <c r="BO11" s="10">
        <v>182744</v>
      </c>
      <c r="BP11" s="82">
        <f t="shared" si="0"/>
        <v>6710022</v>
      </c>
      <c r="BQ11" s="82">
        <f t="shared" si="1"/>
        <v>21260751</v>
      </c>
    </row>
    <row r="12" spans="1:69" x14ac:dyDescent="0.25">
      <c r="A12" s="26" t="s">
        <v>285</v>
      </c>
      <c r="B12" s="10"/>
      <c r="C12" s="10"/>
      <c r="D12" s="10"/>
      <c r="E12" s="10"/>
      <c r="F12" s="10"/>
      <c r="G12" s="10"/>
      <c r="H12" s="10"/>
      <c r="I12" s="10"/>
      <c r="J12" s="10">
        <v>317538</v>
      </c>
      <c r="K12" s="10">
        <v>1822329</v>
      </c>
      <c r="L12" s="10">
        <v>76331</v>
      </c>
      <c r="M12" s="10">
        <v>215447</v>
      </c>
      <c r="N12" s="10">
        <v>47931</v>
      </c>
      <c r="O12" s="10">
        <v>405524</v>
      </c>
      <c r="P12" s="10">
        <v>-813</v>
      </c>
      <c r="Q12" s="10">
        <v>-40782</v>
      </c>
      <c r="R12" s="10">
        <v>4490</v>
      </c>
      <c r="S12" s="10">
        <v>18264</v>
      </c>
      <c r="T12" s="10"/>
      <c r="U12" s="10"/>
      <c r="V12" s="10">
        <v>82686</v>
      </c>
      <c r="W12" s="10">
        <v>488568</v>
      </c>
      <c r="X12" s="10">
        <v>40438</v>
      </c>
      <c r="Y12" s="10">
        <v>117655</v>
      </c>
      <c r="Z12" s="10">
        <v>112953</v>
      </c>
      <c r="AA12" s="10">
        <v>1021393</v>
      </c>
      <c r="AB12" s="10">
        <v>462570</v>
      </c>
      <c r="AC12" s="10">
        <v>1751576</v>
      </c>
      <c r="AD12" s="10">
        <v>27624</v>
      </c>
      <c r="AE12" s="10">
        <v>270532</v>
      </c>
      <c r="AF12" s="10">
        <v>14635</v>
      </c>
      <c r="AG12" s="10">
        <v>59548</v>
      </c>
      <c r="AH12" s="10">
        <v>11187</v>
      </c>
      <c r="AI12" s="10">
        <v>1798</v>
      </c>
      <c r="AJ12" s="10">
        <v>9735</v>
      </c>
      <c r="AK12" s="10">
        <v>57502</v>
      </c>
      <c r="AL12" s="10"/>
      <c r="AM12" s="10"/>
      <c r="AN12" s="10"/>
      <c r="AO12" s="10"/>
      <c r="AP12" s="155">
        <v>1951805</v>
      </c>
      <c r="AQ12" s="155">
        <v>5030116</v>
      </c>
      <c r="AR12" s="10">
        <v>4290498</v>
      </c>
      <c r="AS12" s="10">
        <v>18601291</v>
      </c>
      <c r="AT12" s="10">
        <v>1319366</v>
      </c>
      <c r="AU12" s="10">
        <v>5336769</v>
      </c>
      <c r="AV12" s="10">
        <v>-165</v>
      </c>
      <c r="AW12" s="10">
        <v>3217</v>
      </c>
      <c r="AX12" s="10">
        <v>101671</v>
      </c>
      <c r="AY12" s="10">
        <v>625809</v>
      </c>
      <c r="AZ12" s="10"/>
      <c r="BA12" s="10"/>
      <c r="BB12" s="10">
        <v>52850</v>
      </c>
      <c r="BC12" s="10">
        <v>199737</v>
      </c>
      <c r="BD12" s="10">
        <v>109261</v>
      </c>
      <c r="BE12" s="10">
        <v>1101863</v>
      </c>
      <c r="BF12" s="10">
        <v>-489</v>
      </c>
      <c r="BG12" s="36">
        <v>7308</v>
      </c>
      <c r="BH12" s="10"/>
      <c r="BI12" s="10"/>
      <c r="BJ12" s="10">
        <v>352184</v>
      </c>
      <c r="BK12" s="10">
        <v>972078</v>
      </c>
      <c r="BL12" s="10">
        <v>2336447</v>
      </c>
      <c r="BM12" s="10">
        <v>10377526</v>
      </c>
      <c r="BN12" s="10">
        <v>-10289</v>
      </c>
      <c r="BO12" s="10">
        <v>248992</v>
      </c>
      <c r="BP12" s="82">
        <f t="shared" si="0"/>
        <v>11710444</v>
      </c>
      <c r="BQ12" s="82">
        <f t="shared" si="1"/>
        <v>48694060</v>
      </c>
    </row>
    <row r="13" spans="1:69" x14ac:dyDescent="0.25">
      <c r="A13" s="18"/>
    </row>
    <row r="14" spans="1:69" x14ac:dyDescent="0.25">
      <c r="A14" s="33" t="s">
        <v>229</v>
      </c>
    </row>
    <row r="15" spans="1:69" x14ac:dyDescent="0.25">
      <c r="A15" s="3" t="s">
        <v>0</v>
      </c>
      <c r="B15" s="111" t="s">
        <v>1</v>
      </c>
      <c r="C15" s="112"/>
      <c r="D15" s="111" t="s">
        <v>2</v>
      </c>
      <c r="E15" s="112"/>
      <c r="F15" s="111" t="s">
        <v>3</v>
      </c>
      <c r="G15" s="112"/>
      <c r="H15" s="111" t="s">
        <v>295</v>
      </c>
      <c r="I15" s="112"/>
      <c r="J15" s="111" t="s">
        <v>5</v>
      </c>
      <c r="K15" s="112"/>
      <c r="L15" s="111" t="s">
        <v>6</v>
      </c>
      <c r="M15" s="112"/>
      <c r="N15" s="111" t="s">
        <v>7</v>
      </c>
      <c r="O15" s="112"/>
      <c r="P15" s="111" t="s">
        <v>309</v>
      </c>
      <c r="Q15" s="112"/>
      <c r="R15" s="111" t="s">
        <v>9</v>
      </c>
      <c r="S15" s="112"/>
      <c r="T15" s="111" t="s">
        <v>10</v>
      </c>
      <c r="U15" s="112"/>
      <c r="V15" s="111" t="s">
        <v>11</v>
      </c>
      <c r="W15" s="112"/>
      <c r="X15" s="111" t="s">
        <v>12</v>
      </c>
      <c r="Y15" s="112"/>
      <c r="Z15" s="111" t="s">
        <v>13</v>
      </c>
      <c r="AA15" s="112"/>
      <c r="AB15" s="111" t="s">
        <v>14</v>
      </c>
      <c r="AC15" s="112"/>
      <c r="AD15" s="111" t="s">
        <v>15</v>
      </c>
      <c r="AE15" s="112"/>
      <c r="AF15" s="111" t="s">
        <v>16</v>
      </c>
      <c r="AG15" s="112"/>
      <c r="AH15" s="111" t="s">
        <v>17</v>
      </c>
      <c r="AI15" s="112"/>
      <c r="AJ15" s="111" t="s">
        <v>18</v>
      </c>
      <c r="AK15" s="112"/>
      <c r="AL15" s="111" t="s">
        <v>293</v>
      </c>
      <c r="AM15" s="112"/>
      <c r="AN15" s="111" t="s">
        <v>19</v>
      </c>
      <c r="AO15" s="112"/>
      <c r="AP15" s="111" t="s">
        <v>20</v>
      </c>
      <c r="AQ15" s="112"/>
      <c r="AR15" s="111" t="s">
        <v>21</v>
      </c>
      <c r="AS15" s="112"/>
      <c r="AT15" s="111" t="s">
        <v>22</v>
      </c>
      <c r="AU15" s="112"/>
      <c r="AV15" s="111" t="s">
        <v>23</v>
      </c>
      <c r="AW15" s="112"/>
      <c r="AX15" s="111" t="s">
        <v>24</v>
      </c>
      <c r="AY15" s="112"/>
      <c r="AZ15" s="111" t="s">
        <v>25</v>
      </c>
      <c r="BA15" s="112"/>
      <c r="BB15" s="111" t="s">
        <v>26</v>
      </c>
      <c r="BC15" s="112"/>
      <c r="BD15" s="111" t="s">
        <v>27</v>
      </c>
      <c r="BE15" s="112"/>
      <c r="BF15" s="111" t="s">
        <v>28</v>
      </c>
      <c r="BG15" s="112"/>
      <c r="BH15" s="111" t="s">
        <v>29</v>
      </c>
      <c r="BI15" s="112"/>
      <c r="BJ15" s="111" t="s">
        <v>30</v>
      </c>
      <c r="BK15" s="112"/>
      <c r="BL15" s="115" t="s">
        <v>31</v>
      </c>
      <c r="BM15" s="116"/>
      <c r="BN15" s="111" t="s">
        <v>32</v>
      </c>
      <c r="BO15" s="112"/>
      <c r="BP15" s="113" t="s">
        <v>33</v>
      </c>
      <c r="BQ15" s="114"/>
    </row>
    <row r="16" spans="1:69" ht="30" x14ac:dyDescent="0.25">
      <c r="A16" s="3"/>
      <c r="B16" s="66" t="s">
        <v>298</v>
      </c>
      <c r="C16" s="67" t="s">
        <v>299</v>
      </c>
      <c r="D16" s="66" t="s">
        <v>298</v>
      </c>
      <c r="E16" s="67" t="s">
        <v>299</v>
      </c>
      <c r="F16" s="66" t="s">
        <v>298</v>
      </c>
      <c r="G16" s="67" t="s">
        <v>299</v>
      </c>
      <c r="H16" s="66" t="s">
        <v>298</v>
      </c>
      <c r="I16" s="67" t="s">
        <v>299</v>
      </c>
      <c r="J16" s="66" t="s">
        <v>298</v>
      </c>
      <c r="K16" s="67" t="s">
        <v>299</v>
      </c>
      <c r="L16" s="66" t="s">
        <v>298</v>
      </c>
      <c r="M16" s="67" t="s">
        <v>299</v>
      </c>
      <c r="N16" s="66" t="s">
        <v>298</v>
      </c>
      <c r="O16" s="67" t="s">
        <v>299</v>
      </c>
      <c r="P16" s="66" t="s">
        <v>298</v>
      </c>
      <c r="Q16" s="67" t="s">
        <v>299</v>
      </c>
      <c r="R16" s="66" t="s">
        <v>298</v>
      </c>
      <c r="S16" s="67" t="s">
        <v>299</v>
      </c>
      <c r="T16" s="66" t="s">
        <v>298</v>
      </c>
      <c r="U16" s="67" t="s">
        <v>299</v>
      </c>
      <c r="V16" s="66" t="s">
        <v>298</v>
      </c>
      <c r="W16" s="67" t="s">
        <v>299</v>
      </c>
      <c r="X16" s="66" t="s">
        <v>298</v>
      </c>
      <c r="Y16" s="67" t="s">
        <v>299</v>
      </c>
      <c r="Z16" s="66" t="s">
        <v>298</v>
      </c>
      <c r="AA16" s="67" t="s">
        <v>299</v>
      </c>
      <c r="AB16" s="66" t="s">
        <v>298</v>
      </c>
      <c r="AC16" s="67" t="s">
        <v>299</v>
      </c>
      <c r="AD16" s="66" t="s">
        <v>298</v>
      </c>
      <c r="AE16" s="67" t="s">
        <v>299</v>
      </c>
      <c r="AF16" s="66" t="s">
        <v>298</v>
      </c>
      <c r="AG16" s="67" t="s">
        <v>299</v>
      </c>
      <c r="AH16" s="66" t="s">
        <v>298</v>
      </c>
      <c r="AI16" s="67" t="s">
        <v>299</v>
      </c>
      <c r="AJ16" s="66" t="s">
        <v>298</v>
      </c>
      <c r="AK16" s="67" t="s">
        <v>299</v>
      </c>
      <c r="AL16" s="66" t="s">
        <v>298</v>
      </c>
      <c r="AM16" s="67" t="s">
        <v>299</v>
      </c>
      <c r="AN16" s="66" t="s">
        <v>298</v>
      </c>
      <c r="AO16" s="67" t="s">
        <v>299</v>
      </c>
      <c r="AP16" s="66" t="s">
        <v>298</v>
      </c>
      <c r="AQ16" s="67" t="s">
        <v>299</v>
      </c>
      <c r="AR16" s="66" t="s">
        <v>298</v>
      </c>
      <c r="AS16" s="67" t="s">
        <v>299</v>
      </c>
      <c r="AT16" s="66" t="s">
        <v>298</v>
      </c>
      <c r="AU16" s="67" t="s">
        <v>299</v>
      </c>
      <c r="AV16" s="66" t="s">
        <v>298</v>
      </c>
      <c r="AW16" s="67" t="s">
        <v>299</v>
      </c>
      <c r="AX16" s="66" t="s">
        <v>298</v>
      </c>
      <c r="AY16" s="67" t="s">
        <v>299</v>
      </c>
      <c r="AZ16" s="66" t="s">
        <v>298</v>
      </c>
      <c r="BA16" s="67" t="s">
        <v>299</v>
      </c>
      <c r="BB16" s="66" t="s">
        <v>298</v>
      </c>
      <c r="BC16" s="67" t="s">
        <v>299</v>
      </c>
      <c r="BD16" s="66" t="s">
        <v>298</v>
      </c>
      <c r="BE16" s="67" t="s">
        <v>299</v>
      </c>
      <c r="BF16" s="66" t="s">
        <v>298</v>
      </c>
      <c r="BG16" s="67" t="s">
        <v>299</v>
      </c>
      <c r="BH16" s="66" t="s">
        <v>298</v>
      </c>
      <c r="BI16" s="67" t="s">
        <v>299</v>
      </c>
      <c r="BJ16" s="66" t="s">
        <v>298</v>
      </c>
      <c r="BK16" s="67" t="s">
        <v>299</v>
      </c>
      <c r="BL16" s="66" t="s">
        <v>298</v>
      </c>
      <c r="BM16" s="67" t="s">
        <v>299</v>
      </c>
      <c r="BN16" s="66" t="s">
        <v>298</v>
      </c>
      <c r="BO16" s="67" t="s">
        <v>299</v>
      </c>
      <c r="BP16" s="66" t="s">
        <v>298</v>
      </c>
      <c r="BQ16" s="67" t="s">
        <v>299</v>
      </c>
    </row>
    <row r="17" spans="1:69" x14ac:dyDescent="0.25">
      <c r="A17" s="26" t="s">
        <v>240</v>
      </c>
      <c r="B17" s="10"/>
      <c r="C17" s="10"/>
      <c r="D17" s="10"/>
      <c r="E17" s="10"/>
      <c r="F17" s="10"/>
      <c r="G17" s="10"/>
      <c r="H17" s="10"/>
      <c r="I17" s="10"/>
      <c r="J17" s="10">
        <v>229455</v>
      </c>
      <c r="K17" s="10">
        <v>1021355</v>
      </c>
      <c r="L17" s="10">
        <v>147377</v>
      </c>
      <c r="M17" s="10">
        <v>491767</v>
      </c>
      <c r="N17" s="10">
        <v>140230</v>
      </c>
      <c r="O17" s="10">
        <v>623310</v>
      </c>
      <c r="P17" s="10"/>
      <c r="Q17" s="10"/>
      <c r="R17" s="10">
        <v>4624</v>
      </c>
      <c r="S17" s="10">
        <v>7410</v>
      </c>
      <c r="T17" s="10"/>
      <c r="U17" s="10"/>
      <c r="V17" s="10">
        <v>106290</v>
      </c>
      <c r="W17" s="10">
        <v>373490</v>
      </c>
      <c r="X17" s="10"/>
      <c r="Y17" s="10"/>
      <c r="Z17" s="10">
        <f>33315+338246</f>
        <v>371561</v>
      </c>
      <c r="AA17" s="10">
        <f>42410+1195615</f>
        <v>1238025</v>
      </c>
      <c r="AB17" s="10">
        <v>869587</v>
      </c>
      <c r="AC17" s="10">
        <v>2961363</v>
      </c>
      <c r="AD17" s="10">
        <v>307537</v>
      </c>
      <c r="AE17" s="10">
        <v>1036503</v>
      </c>
      <c r="AF17" s="10"/>
      <c r="AG17" s="10"/>
      <c r="AH17" s="10">
        <v>63561</v>
      </c>
      <c r="AI17" s="10">
        <v>231978</v>
      </c>
      <c r="AJ17" s="10">
        <v>37198</v>
      </c>
      <c r="AK17" s="10">
        <v>121190</v>
      </c>
      <c r="AL17" s="10"/>
      <c r="AM17" s="10"/>
      <c r="AN17" s="10"/>
      <c r="AO17" s="10"/>
      <c r="AP17" s="10">
        <v>456425.48</v>
      </c>
      <c r="AQ17" s="10">
        <v>1214188.976</v>
      </c>
      <c r="AR17" s="10">
        <v>828623</v>
      </c>
      <c r="AS17" s="10">
        <v>3418151</v>
      </c>
      <c r="AT17" s="10">
        <v>524424</v>
      </c>
      <c r="AU17" s="10">
        <v>2549847</v>
      </c>
      <c r="AV17" s="10"/>
      <c r="AW17" s="10"/>
      <c r="AX17" s="10">
        <v>241307</v>
      </c>
      <c r="AY17" s="10">
        <v>1005885</v>
      </c>
      <c r="AZ17" s="10"/>
      <c r="BA17" s="10"/>
      <c r="BB17" s="10">
        <v>56907</v>
      </c>
      <c r="BC17" s="10">
        <v>233237</v>
      </c>
      <c r="BD17" s="10">
        <v>44039</v>
      </c>
      <c r="BE17" s="10">
        <v>143331</v>
      </c>
      <c r="BF17" s="10">
        <v>109</v>
      </c>
      <c r="BG17" s="36">
        <v>4858</v>
      </c>
      <c r="BH17" s="10"/>
      <c r="BI17" s="10"/>
      <c r="BJ17" s="10">
        <v>642043</v>
      </c>
      <c r="BK17" s="10">
        <v>2122660</v>
      </c>
      <c r="BL17" s="10">
        <v>588395</v>
      </c>
      <c r="BM17" s="10">
        <v>2727208</v>
      </c>
      <c r="BN17" s="10">
        <v>55695</v>
      </c>
      <c r="BO17" s="10">
        <f>319+99210</f>
        <v>99529</v>
      </c>
      <c r="BP17" s="82">
        <f t="shared" ref="BP17:BP23" si="2">B17+D17+F17+H17+J17+L17+N17+P17+R17+T17+V17+X17+Z17+AB17+AD17+AF17+AH17+AJ17+AL17+AN17+AP17+AR17+AT17+AV17+AX17+AZ17+BB17+BD17+BF17+BH17+BJ17+BL17+BN17</f>
        <v>5715387.4800000004</v>
      </c>
      <c r="BQ17" s="82">
        <f t="shared" ref="BQ17:BQ23" si="3">C17+E17+G17+I17+K17+M17+O17+Q17+S17+U17+W17+Y17+AA17+AC17+AE17+AG17+AI17+AK17+AM17+AO17+AQ17+AS17+AU17+AW17+AY17+BA17+BC17+BE17+BG17+BI17+BK17+BM17+BO17</f>
        <v>21625285.976</v>
      </c>
    </row>
    <row r="18" spans="1:69" x14ac:dyDescent="0.25">
      <c r="A18" s="10" t="s">
        <v>291</v>
      </c>
      <c r="B18" s="10"/>
      <c r="C18" s="10"/>
      <c r="D18" s="10"/>
      <c r="E18" s="10"/>
      <c r="F18" s="10"/>
      <c r="G18" s="10"/>
      <c r="H18" s="10"/>
      <c r="I18" s="10"/>
      <c r="J18" s="10">
        <v>14657</v>
      </c>
      <c r="K18" s="10">
        <v>714403</v>
      </c>
      <c r="L18" s="10">
        <v>69287</v>
      </c>
      <c r="M18" s="10">
        <v>419719</v>
      </c>
      <c r="N18" s="10">
        <v>64986</v>
      </c>
      <c r="O18" s="10">
        <v>64986</v>
      </c>
      <c r="P18" s="10"/>
      <c r="Q18" s="10"/>
      <c r="R18" s="10">
        <v>5571</v>
      </c>
      <c r="S18" s="10">
        <v>5571</v>
      </c>
      <c r="T18" s="10"/>
      <c r="U18" s="10"/>
      <c r="V18" s="10">
        <v>340696</v>
      </c>
      <c r="W18" s="10">
        <v>340696</v>
      </c>
      <c r="X18" s="10">
        <v>51</v>
      </c>
      <c r="Y18" s="10">
        <v>271</v>
      </c>
      <c r="Z18" s="10">
        <f>1274444+1093378</f>
        <v>2367822</v>
      </c>
      <c r="AA18" s="10">
        <f>1274444+1093378</f>
        <v>2367822</v>
      </c>
      <c r="AB18" s="10">
        <v>5899044</v>
      </c>
      <c r="AC18" s="10">
        <v>5899044</v>
      </c>
      <c r="AD18" s="10">
        <v>-57990</v>
      </c>
      <c r="AE18" s="10">
        <v>584103</v>
      </c>
      <c r="AF18" s="10"/>
      <c r="AG18" s="10"/>
      <c r="AH18" s="10">
        <v>142203</v>
      </c>
      <c r="AI18" s="10">
        <v>142203</v>
      </c>
      <c r="AJ18" s="10">
        <v>484869</v>
      </c>
      <c r="AK18" s="10">
        <v>484869</v>
      </c>
      <c r="AL18" s="10"/>
      <c r="AM18" s="10"/>
      <c r="AN18" s="10"/>
      <c r="AO18" s="10"/>
      <c r="AP18" s="10">
        <v>16064.241999999969</v>
      </c>
      <c r="AQ18" s="10">
        <v>1907749.3819999995</v>
      </c>
      <c r="AR18" s="10">
        <v>6320172</v>
      </c>
      <c r="AS18" s="10">
        <v>6320172</v>
      </c>
      <c r="AT18" s="10">
        <v>-500815</v>
      </c>
      <c r="AU18" s="10">
        <v>5839119</v>
      </c>
      <c r="AV18" s="10">
        <v>-27</v>
      </c>
      <c r="AW18" s="10">
        <v>168</v>
      </c>
      <c r="AX18" s="10">
        <v>199656</v>
      </c>
      <c r="AY18" s="10">
        <v>199656</v>
      </c>
      <c r="AZ18" s="10"/>
      <c r="BA18" s="10"/>
      <c r="BB18" s="10">
        <v>-34751</v>
      </c>
      <c r="BC18" s="10">
        <v>419333</v>
      </c>
      <c r="BD18" s="10">
        <v>161178</v>
      </c>
      <c r="BE18" s="10">
        <v>161178</v>
      </c>
      <c r="BF18" s="36">
        <v>13065</v>
      </c>
      <c r="BG18" s="36">
        <v>13065</v>
      </c>
      <c r="BH18" s="10"/>
      <c r="BI18" s="10"/>
      <c r="BJ18" s="10">
        <v>1799545</v>
      </c>
      <c r="BK18" s="10">
        <v>1799545</v>
      </c>
      <c r="BL18" s="10">
        <v>3591862</v>
      </c>
      <c r="BM18" s="10">
        <v>3591862</v>
      </c>
      <c r="BN18" s="10">
        <f>-12-13506</f>
        <v>-13518</v>
      </c>
      <c r="BO18" s="10">
        <f>19+23302</f>
        <v>23321</v>
      </c>
      <c r="BP18" s="82">
        <f t="shared" si="2"/>
        <v>20883627.241999999</v>
      </c>
      <c r="BQ18" s="82">
        <f t="shared" si="3"/>
        <v>31298855.381999999</v>
      </c>
    </row>
    <row r="19" spans="1:69" x14ac:dyDescent="0.25">
      <c r="A19" s="10" t="s">
        <v>290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697567</v>
      </c>
      <c r="L19" s="10"/>
      <c r="M19" s="10">
        <v>177448</v>
      </c>
      <c r="N19" s="10">
        <v>64367</v>
      </c>
      <c r="O19" s="10">
        <v>57775</v>
      </c>
      <c r="P19" s="10"/>
      <c r="Q19" s="10"/>
      <c r="R19" s="10">
        <v>6333</v>
      </c>
      <c r="S19" s="10">
        <v>591</v>
      </c>
      <c r="T19" s="10"/>
      <c r="U19" s="10"/>
      <c r="V19" s="10">
        <v>353054</v>
      </c>
      <c r="W19" s="10">
        <v>354102</v>
      </c>
      <c r="X19" s="10">
        <v>1</v>
      </c>
      <c r="Y19" s="10">
        <v>47</v>
      </c>
      <c r="Z19" s="10">
        <f>-849147-1144243</f>
        <v>-1993390</v>
      </c>
      <c r="AA19" s="10">
        <f>-815629-957728</f>
        <v>-1773357</v>
      </c>
      <c r="AB19" s="10">
        <v>5844088</v>
      </c>
      <c r="AC19" s="10">
        <v>5626935</v>
      </c>
      <c r="AD19" s="10"/>
      <c r="AE19" s="10">
        <v>562250</v>
      </c>
      <c r="AF19" s="10"/>
      <c r="AG19" s="10"/>
      <c r="AH19" s="10">
        <v>140772</v>
      </c>
      <c r="AI19" s="10">
        <v>231338</v>
      </c>
      <c r="AJ19" s="10">
        <v>-381517</v>
      </c>
      <c r="AK19" s="10">
        <v>-365348</v>
      </c>
      <c r="AL19" s="10"/>
      <c r="AM19" s="10"/>
      <c r="AN19" s="10"/>
      <c r="AO19" s="10"/>
      <c r="AP19" s="10">
        <v>0</v>
      </c>
      <c r="AQ19" s="10">
        <v>1928950.92</v>
      </c>
      <c r="AR19" s="10">
        <v>5819403</v>
      </c>
      <c r="AS19" s="10">
        <v>6422852</v>
      </c>
      <c r="AT19" s="10">
        <v>0</v>
      </c>
      <c r="AU19" s="10">
        <v>6317377</v>
      </c>
      <c r="AV19" s="10"/>
      <c r="AW19" s="10">
        <v>221</v>
      </c>
      <c r="AX19" s="10">
        <v>204669</v>
      </c>
      <c r="AY19" s="10">
        <v>205550</v>
      </c>
      <c r="AZ19" s="10"/>
      <c r="BA19" s="10"/>
      <c r="BB19" s="10"/>
      <c r="BC19" s="10">
        <v>-403621</v>
      </c>
      <c r="BD19" s="10">
        <v>185090</v>
      </c>
      <c r="BE19" s="10">
        <v>167081</v>
      </c>
      <c r="BF19" s="36">
        <v>18538</v>
      </c>
      <c r="BG19" s="36">
        <v>18934</v>
      </c>
      <c r="BH19" s="10"/>
      <c r="BI19" s="10"/>
      <c r="BJ19" s="10">
        <v>1850782</v>
      </c>
      <c r="BK19" s="10">
        <v>1637597</v>
      </c>
      <c r="BL19" s="10">
        <v>3666945</v>
      </c>
      <c r="BM19" s="10">
        <v>4288452</v>
      </c>
      <c r="BN19" s="10"/>
      <c r="BO19" s="10">
        <f>27+24432</f>
        <v>24459</v>
      </c>
      <c r="BP19" s="82">
        <f t="shared" si="2"/>
        <v>15779135</v>
      </c>
      <c r="BQ19" s="82">
        <f t="shared" si="3"/>
        <v>26177200.920000002</v>
      </c>
    </row>
    <row r="20" spans="1:69" x14ac:dyDescent="0.25">
      <c r="A20" s="26" t="s">
        <v>294</v>
      </c>
      <c r="B20" s="10"/>
      <c r="C20" s="10"/>
      <c r="D20" s="10"/>
      <c r="E20" s="10"/>
      <c r="F20" s="10"/>
      <c r="G20" s="10"/>
      <c r="H20" s="10"/>
      <c r="I20" s="10"/>
      <c r="J20" s="10">
        <v>244112</v>
      </c>
      <c r="K20" s="10">
        <v>1038191</v>
      </c>
      <c r="L20" s="10"/>
      <c r="M20" s="10"/>
      <c r="N20" s="10">
        <v>140849</v>
      </c>
      <c r="O20" s="10">
        <v>630521</v>
      </c>
      <c r="P20" s="10"/>
      <c r="Q20" s="10"/>
      <c r="R20" s="10">
        <v>3862</v>
      </c>
      <c r="S20" s="10">
        <v>12390</v>
      </c>
      <c r="T20" s="10"/>
      <c r="U20" s="10"/>
      <c r="V20" s="10"/>
      <c r="W20" s="10"/>
      <c r="X20" s="10"/>
      <c r="Y20" s="10"/>
      <c r="Z20" s="10">
        <f>458612+287381</f>
        <v>745993</v>
      </c>
      <c r="AA20" s="10">
        <f>501225+1331265</f>
        <v>1832490</v>
      </c>
      <c r="AB20" s="10">
        <v>924543</v>
      </c>
      <c r="AC20" s="10">
        <v>3233473</v>
      </c>
      <c r="AD20" s="10">
        <v>249547</v>
      </c>
      <c r="AE20" s="10">
        <v>1058356</v>
      </c>
      <c r="AF20" s="10"/>
      <c r="AG20" s="10"/>
      <c r="AH20" s="10">
        <v>64992</v>
      </c>
      <c r="AI20" s="10">
        <v>142843</v>
      </c>
      <c r="AJ20" s="10">
        <v>140550</v>
      </c>
      <c r="AK20" s="10">
        <v>240711</v>
      </c>
      <c r="AL20" s="10"/>
      <c r="AM20" s="10"/>
      <c r="AN20" s="10"/>
      <c r="AO20" s="10"/>
      <c r="AP20" s="10"/>
      <c r="AQ20" s="10"/>
      <c r="AR20" s="10">
        <v>1329392</v>
      </c>
      <c r="AS20" s="10">
        <v>3315471</v>
      </c>
      <c r="AT20" s="10">
        <v>23609</v>
      </c>
      <c r="AU20" s="10">
        <v>2071589</v>
      </c>
      <c r="AV20" s="10">
        <v>-27</v>
      </c>
      <c r="AW20" s="10">
        <v>-53</v>
      </c>
      <c r="AX20" s="10"/>
      <c r="AY20" s="10"/>
      <c r="AZ20" s="10"/>
      <c r="BA20" s="10"/>
      <c r="BB20" s="10">
        <v>22156</v>
      </c>
      <c r="BC20" s="10">
        <v>248950</v>
      </c>
      <c r="BD20" s="10"/>
      <c r="BE20" s="10"/>
      <c r="BF20" s="10"/>
      <c r="BG20" s="10"/>
      <c r="BH20" s="10"/>
      <c r="BI20" s="10"/>
      <c r="BJ20" s="10">
        <v>590806</v>
      </c>
      <c r="BK20" s="10">
        <v>2284608</v>
      </c>
      <c r="BL20" s="10">
        <v>513312</v>
      </c>
      <c r="BM20" s="10">
        <v>2030618</v>
      </c>
      <c r="BN20" s="10">
        <f>-12+42189</f>
        <v>42177</v>
      </c>
      <c r="BO20" s="10">
        <f>311+98080</f>
        <v>98391</v>
      </c>
      <c r="BP20" s="82">
        <f t="shared" si="2"/>
        <v>5035873</v>
      </c>
      <c r="BQ20" s="82">
        <f t="shared" si="3"/>
        <v>18238549</v>
      </c>
    </row>
    <row r="21" spans="1:69" x14ac:dyDescent="0.25">
      <c r="A21" s="26" t="s">
        <v>288</v>
      </c>
      <c r="B21" s="10"/>
      <c r="C21" s="10"/>
      <c r="D21" s="10"/>
      <c r="E21" s="10"/>
      <c r="F21" s="10"/>
      <c r="G21" s="10"/>
      <c r="H21" s="10"/>
      <c r="I21" s="10"/>
      <c r="J21" s="10"/>
      <c r="K21" s="10">
        <v>5704</v>
      </c>
      <c r="L21" s="10">
        <v>17548</v>
      </c>
      <c r="M21" s="10">
        <v>29997</v>
      </c>
      <c r="N21" s="10"/>
      <c r="O21" s="10"/>
      <c r="P21" s="10"/>
      <c r="Q21" s="10"/>
      <c r="R21" s="10"/>
      <c r="S21" s="10"/>
      <c r="T21" s="10"/>
      <c r="U21" s="10"/>
      <c r="V21" s="10">
        <v>7755</v>
      </c>
      <c r="W21" s="10">
        <v>15972</v>
      </c>
      <c r="X21" s="10"/>
      <c r="Y21" s="10"/>
      <c r="Z21" s="10"/>
      <c r="AA21" s="10"/>
      <c r="AB21" s="10">
        <v>14089</v>
      </c>
      <c r="AC21" s="10">
        <v>50623</v>
      </c>
      <c r="AD21" s="10">
        <v>78</v>
      </c>
      <c r="AE21" s="10">
        <v>234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>
        <v>18747.728000000006</v>
      </c>
      <c r="AQ21" s="10">
        <v>105636.40100000001</v>
      </c>
      <c r="AR21" s="10"/>
      <c r="AS21" s="10"/>
      <c r="AT21" s="10">
        <v>24171</v>
      </c>
      <c r="AU21" s="10">
        <v>260667</v>
      </c>
      <c r="AV21" s="10"/>
      <c r="AW21" s="10"/>
      <c r="AX21" s="10"/>
      <c r="AY21" s="10"/>
      <c r="AZ21" s="10"/>
      <c r="BA21" s="10"/>
      <c r="BB21" s="10"/>
      <c r="BC21" s="10">
        <v>9653</v>
      </c>
      <c r="BD21" s="10"/>
      <c r="BE21" s="10"/>
      <c r="BF21" s="10"/>
      <c r="BG21" s="10"/>
      <c r="BH21" s="10"/>
      <c r="BI21" s="10"/>
      <c r="BJ21" s="10">
        <v>51340</v>
      </c>
      <c r="BK21" s="10">
        <v>68489</v>
      </c>
      <c r="BL21" s="10">
        <v>42653</v>
      </c>
      <c r="BM21" s="10">
        <v>236422</v>
      </c>
      <c r="BN21" s="10"/>
      <c r="BO21" s="10"/>
      <c r="BP21" s="82">
        <f t="shared" si="2"/>
        <v>176381.728</v>
      </c>
      <c r="BQ21" s="82">
        <f t="shared" si="3"/>
        <v>783397.40100000007</v>
      </c>
    </row>
    <row r="22" spans="1:69" x14ac:dyDescent="0.25">
      <c r="A22" s="26" t="s">
        <v>289</v>
      </c>
      <c r="B22" s="10"/>
      <c r="C22" s="10"/>
      <c r="D22" s="10"/>
      <c r="E22" s="10"/>
      <c r="F22" s="10"/>
      <c r="G22" s="10"/>
      <c r="H22" s="10"/>
      <c r="I22" s="10"/>
      <c r="J22" s="10">
        <v>61709</v>
      </c>
      <c r="K22" s="10">
        <v>255529</v>
      </c>
      <c r="L22" s="10">
        <v>39281</v>
      </c>
      <c r="M22" s="10">
        <v>146415</v>
      </c>
      <c r="N22" s="10">
        <v>115443</v>
      </c>
      <c r="O22" s="10">
        <v>515340</v>
      </c>
      <c r="P22" s="10"/>
      <c r="Q22" s="10"/>
      <c r="R22" s="10">
        <v>3488</v>
      </c>
      <c r="S22" s="10">
        <v>11740</v>
      </c>
      <c r="T22" s="10"/>
      <c r="U22" s="10"/>
      <c r="V22" s="10">
        <v>10619</v>
      </c>
      <c r="W22" s="10">
        <v>69191</v>
      </c>
      <c r="X22" s="10"/>
      <c r="Y22" s="10"/>
      <c r="Z22" s="10"/>
      <c r="AA22" s="10"/>
      <c r="AB22" s="10"/>
      <c r="AC22" s="10"/>
      <c r="AD22" s="10">
        <v>140563</v>
      </c>
      <c r="AE22" s="10">
        <v>587508</v>
      </c>
      <c r="AF22" s="10"/>
      <c r="AG22" s="10"/>
      <c r="AH22" s="10">
        <v>3417</v>
      </c>
      <c r="AI22" s="10">
        <v>27711</v>
      </c>
      <c r="AJ22" s="10"/>
      <c r="AK22" s="10"/>
      <c r="AL22" s="10"/>
      <c r="AM22" s="10"/>
      <c r="AN22" s="10"/>
      <c r="AO22" s="10"/>
      <c r="AP22" s="10">
        <v>371095.09499999997</v>
      </c>
      <c r="AQ22" s="10">
        <v>525766.51300000004</v>
      </c>
      <c r="AR22" s="10"/>
      <c r="AS22" s="10"/>
      <c r="AT22" s="10">
        <v>-67195</v>
      </c>
      <c r="AU22" s="10">
        <v>418131</v>
      </c>
      <c r="AV22" s="10"/>
      <c r="AW22" s="10"/>
      <c r="AX22" s="10">
        <v>219040</v>
      </c>
      <c r="AY22" s="10">
        <v>929957</v>
      </c>
      <c r="AZ22" s="10"/>
      <c r="BA22" s="10"/>
      <c r="BB22" s="10"/>
      <c r="BC22" s="10"/>
      <c r="BD22" s="10">
        <v>2793</v>
      </c>
      <c r="BE22" s="10">
        <v>9370</v>
      </c>
      <c r="BF22" s="10">
        <v>5</v>
      </c>
      <c r="BG22" s="36">
        <v>1015</v>
      </c>
      <c r="BH22" s="10"/>
      <c r="BI22" s="10"/>
      <c r="BJ22" s="10">
        <v>78198</v>
      </c>
      <c r="BK22" s="10">
        <v>144668</v>
      </c>
      <c r="BL22" s="10">
        <v>119165</v>
      </c>
      <c r="BM22" s="10">
        <v>924229</v>
      </c>
      <c r="BN22" s="10">
        <v>40398</v>
      </c>
      <c r="BO22" s="10">
        <f>317+62943</f>
        <v>63260</v>
      </c>
      <c r="BP22" s="82">
        <f t="shared" si="2"/>
        <v>1138019.095</v>
      </c>
      <c r="BQ22" s="82">
        <f t="shared" si="3"/>
        <v>4629830.5130000003</v>
      </c>
    </row>
    <row r="23" spans="1:69" x14ac:dyDescent="0.25">
      <c r="A23" s="26" t="s">
        <v>285</v>
      </c>
      <c r="B23" s="10"/>
      <c r="C23" s="10"/>
      <c r="D23" s="10"/>
      <c r="E23" s="10"/>
      <c r="F23" s="10"/>
      <c r="G23" s="10"/>
      <c r="H23" s="10"/>
      <c r="I23" s="10"/>
      <c r="J23" s="10">
        <v>182403</v>
      </c>
      <c r="K23" s="10">
        <v>788366</v>
      </c>
      <c r="L23" s="10">
        <v>194931</v>
      </c>
      <c r="M23" s="10">
        <v>617620</v>
      </c>
      <c r="N23" s="10">
        <v>25406</v>
      </c>
      <c r="O23" s="10">
        <v>115181</v>
      </c>
      <c r="P23" s="10"/>
      <c r="Q23" s="10"/>
      <c r="R23" s="10">
        <v>374</v>
      </c>
      <c r="S23" s="10">
        <v>650</v>
      </c>
      <c r="T23" s="10"/>
      <c r="U23" s="10"/>
      <c r="V23" s="10">
        <v>91067</v>
      </c>
      <c r="W23" s="10">
        <v>306865</v>
      </c>
      <c r="X23" s="10">
        <v>51</v>
      </c>
      <c r="Y23" s="10">
        <v>224</v>
      </c>
      <c r="Z23" s="10">
        <f>2553+88443</f>
        <v>90996</v>
      </c>
      <c r="AA23" s="10">
        <f>3531+585968</f>
        <v>589499</v>
      </c>
      <c r="AB23" s="10">
        <v>472869</v>
      </c>
      <c r="AC23" s="10">
        <v>1672704</v>
      </c>
      <c r="AD23" s="10">
        <v>109062</v>
      </c>
      <c r="AE23" s="10">
        <v>471082</v>
      </c>
      <c r="AF23" s="10"/>
      <c r="AG23" s="10"/>
      <c r="AH23" s="10">
        <v>63596</v>
      </c>
      <c r="AI23" s="10">
        <v>138683</v>
      </c>
      <c r="AJ23" s="10">
        <v>4256</v>
      </c>
      <c r="AK23" s="10">
        <v>16309</v>
      </c>
      <c r="AL23" s="10"/>
      <c r="AM23" s="10"/>
      <c r="AN23" s="10"/>
      <c r="AO23" s="10"/>
      <c r="AP23" s="10">
        <v>120143.35499999998</v>
      </c>
      <c r="AQ23" s="10">
        <v>772856.32599999942</v>
      </c>
      <c r="AR23" s="10">
        <v>1061076</v>
      </c>
      <c r="AS23" s="10">
        <v>2921070</v>
      </c>
      <c r="AT23" s="10">
        <v>114975</v>
      </c>
      <c r="AU23" s="10">
        <v>1914125</v>
      </c>
      <c r="AV23" s="10">
        <v>-27</v>
      </c>
      <c r="AW23" s="10">
        <v>-53</v>
      </c>
      <c r="AX23" s="10">
        <v>17254</v>
      </c>
      <c r="AY23" s="10">
        <v>70034</v>
      </c>
      <c r="AZ23" s="10"/>
      <c r="BA23" s="10"/>
      <c r="BB23" s="10">
        <v>23314</v>
      </c>
      <c r="BC23" s="10">
        <v>117758</v>
      </c>
      <c r="BD23" s="10">
        <v>17334</v>
      </c>
      <c r="BE23" s="10">
        <v>128058</v>
      </c>
      <c r="BF23" s="10">
        <v>-5369</v>
      </c>
      <c r="BG23" s="10">
        <v>-2026</v>
      </c>
      <c r="BH23" s="10"/>
      <c r="BI23" s="10"/>
      <c r="BJ23" s="10">
        <v>563948</v>
      </c>
      <c r="BK23" s="10">
        <v>2208429</v>
      </c>
      <c r="BL23" s="10">
        <v>436800</v>
      </c>
      <c r="BM23" s="10">
        <v>1342811</v>
      </c>
      <c r="BN23" s="10">
        <f>-12+1791</f>
        <v>1779</v>
      </c>
      <c r="BO23" s="10">
        <f>-6+35137</f>
        <v>35131</v>
      </c>
      <c r="BP23" s="82">
        <f t="shared" si="2"/>
        <v>3586238.355</v>
      </c>
      <c r="BQ23" s="82">
        <f t="shared" si="3"/>
        <v>14225376.325999999</v>
      </c>
    </row>
    <row r="24" spans="1:69" x14ac:dyDescent="0.25">
      <c r="A24" s="18"/>
    </row>
    <row r="25" spans="1:69" x14ac:dyDescent="0.25">
      <c r="A25" s="33" t="s">
        <v>230</v>
      </c>
    </row>
    <row r="26" spans="1:69" x14ac:dyDescent="0.25">
      <c r="A26" s="3" t="s">
        <v>0</v>
      </c>
      <c r="B26" s="111" t="s">
        <v>1</v>
      </c>
      <c r="C26" s="112"/>
      <c r="D26" s="111" t="s">
        <v>2</v>
      </c>
      <c r="E26" s="112"/>
      <c r="F26" s="111" t="s">
        <v>3</v>
      </c>
      <c r="G26" s="112"/>
      <c r="H26" s="111" t="s">
        <v>295</v>
      </c>
      <c r="I26" s="112"/>
      <c r="J26" s="111" t="s">
        <v>5</v>
      </c>
      <c r="K26" s="112"/>
      <c r="L26" s="111" t="s">
        <v>6</v>
      </c>
      <c r="M26" s="112"/>
      <c r="N26" s="111" t="s">
        <v>7</v>
      </c>
      <c r="O26" s="112"/>
      <c r="P26" s="111" t="s">
        <v>309</v>
      </c>
      <c r="Q26" s="112"/>
      <c r="R26" s="111" t="s">
        <v>9</v>
      </c>
      <c r="S26" s="112"/>
      <c r="T26" s="111" t="s">
        <v>10</v>
      </c>
      <c r="U26" s="112"/>
      <c r="V26" s="111" t="s">
        <v>11</v>
      </c>
      <c r="W26" s="112"/>
      <c r="X26" s="111" t="s">
        <v>12</v>
      </c>
      <c r="Y26" s="112"/>
      <c r="Z26" s="111" t="s">
        <v>13</v>
      </c>
      <c r="AA26" s="112"/>
      <c r="AB26" s="111" t="s">
        <v>14</v>
      </c>
      <c r="AC26" s="112"/>
      <c r="AD26" s="111" t="s">
        <v>15</v>
      </c>
      <c r="AE26" s="112"/>
      <c r="AF26" s="111" t="s">
        <v>16</v>
      </c>
      <c r="AG26" s="112"/>
      <c r="AH26" s="111" t="s">
        <v>17</v>
      </c>
      <c r="AI26" s="112"/>
      <c r="AJ26" s="111" t="s">
        <v>18</v>
      </c>
      <c r="AK26" s="112"/>
      <c r="AL26" s="111" t="s">
        <v>293</v>
      </c>
      <c r="AM26" s="112"/>
      <c r="AN26" s="111" t="s">
        <v>19</v>
      </c>
      <c r="AO26" s="112"/>
      <c r="AP26" s="111" t="s">
        <v>20</v>
      </c>
      <c r="AQ26" s="112"/>
      <c r="AR26" s="111" t="s">
        <v>21</v>
      </c>
      <c r="AS26" s="112"/>
      <c r="AT26" s="111" t="s">
        <v>22</v>
      </c>
      <c r="AU26" s="112"/>
      <c r="AV26" s="111" t="s">
        <v>23</v>
      </c>
      <c r="AW26" s="112"/>
      <c r="AX26" s="111" t="s">
        <v>24</v>
      </c>
      <c r="AY26" s="112"/>
      <c r="AZ26" s="111" t="s">
        <v>25</v>
      </c>
      <c r="BA26" s="112"/>
      <c r="BB26" s="111" t="s">
        <v>26</v>
      </c>
      <c r="BC26" s="112"/>
      <c r="BD26" s="111" t="s">
        <v>27</v>
      </c>
      <c r="BE26" s="112"/>
      <c r="BF26" s="111" t="s">
        <v>28</v>
      </c>
      <c r="BG26" s="112"/>
      <c r="BH26" s="111" t="s">
        <v>29</v>
      </c>
      <c r="BI26" s="112"/>
      <c r="BJ26" s="111" t="s">
        <v>30</v>
      </c>
      <c r="BK26" s="112"/>
      <c r="BL26" s="115" t="s">
        <v>31</v>
      </c>
      <c r="BM26" s="116"/>
      <c r="BN26" s="111" t="s">
        <v>32</v>
      </c>
      <c r="BO26" s="112"/>
      <c r="BP26" s="113" t="s">
        <v>33</v>
      </c>
      <c r="BQ26" s="114"/>
    </row>
    <row r="27" spans="1:69" ht="30" x14ac:dyDescent="0.25">
      <c r="A27" s="3"/>
      <c r="B27" s="66" t="s">
        <v>298</v>
      </c>
      <c r="C27" s="67" t="s">
        <v>299</v>
      </c>
      <c r="D27" s="66" t="s">
        <v>298</v>
      </c>
      <c r="E27" s="67" t="s">
        <v>299</v>
      </c>
      <c r="F27" s="66" t="s">
        <v>298</v>
      </c>
      <c r="G27" s="67" t="s">
        <v>299</v>
      </c>
      <c r="H27" s="66" t="s">
        <v>298</v>
      </c>
      <c r="I27" s="67" t="s">
        <v>299</v>
      </c>
      <c r="J27" s="66" t="s">
        <v>298</v>
      </c>
      <c r="K27" s="67" t="s">
        <v>299</v>
      </c>
      <c r="L27" s="66" t="s">
        <v>298</v>
      </c>
      <c r="M27" s="67" t="s">
        <v>299</v>
      </c>
      <c r="N27" s="66" t="s">
        <v>298</v>
      </c>
      <c r="O27" s="67" t="s">
        <v>299</v>
      </c>
      <c r="P27" s="66" t="s">
        <v>298</v>
      </c>
      <c r="Q27" s="67" t="s">
        <v>299</v>
      </c>
      <c r="R27" s="66" t="s">
        <v>298</v>
      </c>
      <c r="S27" s="67" t="s">
        <v>299</v>
      </c>
      <c r="T27" s="66" t="s">
        <v>298</v>
      </c>
      <c r="U27" s="67" t="s">
        <v>299</v>
      </c>
      <c r="V27" s="66" t="s">
        <v>298</v>
      </c>
      <c r="W27" s="67" t="s">
        <v>299</v>
      </c>
      <c r="X27" s="66" t="s">
        <v>298</v>
      </c>
      <c r="Y27" s="67" t="s">
        <v>299</v>
      </c>
      <c r="Z27" s="66" t="s">
        <v>298</v>
      </c>
      <c r="AA27" s="67" t="s">
        <v>299</v>
      </c>
      <c r="AB27" s="66" t="s">
        <v>298</v>
      </c>
      <c r="AC27" s="67" t="s">
        <v>299</v>
      </c>
      <c r="AD27" s="66" t="s">
        <v>298</v>
      </c>
      <c r="AE27" s="67" t="s">
        <v>299</v>
      </c>
      <c r="AF27" s="66" t="s">
        <v>298</v>
      </c>
      <c r="AG27" s="67" t="s">
        <v>299</v>
      </c>
      <c r="AH27" s="66" t="s">
        <v>298</v>
      </c>
      <c r="AI27" s="67" t="s">
        <v>299</v>
      </c>
      <c r="AJ27" s="66" t="s">
        <v>298</v>
      </c>
      <c r="AK27" s="67" t="s">
        <v>299</v>
      </c>
      <c r="AL27" s="66" t="s">
        <v>298</v>
      </c>
      <c r="AM27" s="67" t="s">
        <v>299</v>
      </c>
      <c r="AN27" s="66" t="s">
        <v>298</v>
      </c>
      <c r="AO27" s="67" t="s">
        <v>299</v>
      </c>
      <c r="AP27" s="66" t="s">
        <v>298</v>
      </c>
      <c r="AQ27" s="67" t="s">
        <v>299</v>
      </c>
      <c r="AR27" s="66" t="s">
        <v>298</v>
      </c>
      <c r="AS27" s="67" t="s">
        <v>299</v>
      </c>
      <c r="AT27" s="66" t="s">
        <v>298</v>
      </c>
      <c r="AU27" s="67" t="s">
        <v>299</v>
      </c>
      <c r="AV27" s="66" t="s">
        <v>298</v>
      </c>
      <c r="AW27" s="67" t="s">
        <v>299</v>
      </c>
      <c r="AX27" s="66" t="s">
        <v>298</v>
      </c>
      <c r="AY27" s="67" t="s">
        <v>299</v>
      </c>
      <c r="AZ27" s="66" t="s">
        <v>298</v>
      </c>
      <c r="BA27" s="67" t="s">
        <v>299</v>
      </c>
      <c r="BB27" s="66" t="s">
        <v>298</v>
      </c>
      <c r="BC27" s="67" t="s">
        <v>299</v>
      </c>
      <c r="BD27" s="66" t="s">
        <v>298</v>
      </c>
      <c r="BE27" s="67" t="s">
        <v>299</v>
      </c>
      <c r="BF27" s="66" t="s">
        <v>298</v>
      </c>
      <c r="BG27" s="67" t="s">
        <v>299</v>
      </c>
      <c r="BH27" s="66" t="s">
        <v>298</v>
      </c>
      <c r="BI27" s="67" t="s">
        <v>299</v>
      </c>
      <c r="BJ27" s="66" t="s">
        <v>298</v>
      </c>
      <c r="BK27" s="67" t="s">
        <v>299</v>
      </c>
      <c r="BL27" s="66" t="s">
        <v>298</v>
      </c>
      <c r="BM27" s="67" t="s">
        <v>299</v>
      </c>
      <c r="BN27" s="66" t="s">
        <v>298</v>
      </c>
      <c r="BO27" s="67" t="s">
        <v>299</v>
      </c>
      <c r="BP27" s="66" t="s">
        <v>298</v>
      </c>
      <c r="BQ27" s="67" t="s">
        <v>299</v>
      </c>
    </row>
    <row r="28" spans="1:69" x14ac:dyDescent="0.25">
      <c r="A28" s="26" t="s">
        <v>240</v>
      </c>
      <c r="B28" s="10">
        <v>172659</v>
      </c>
      <c r="C28" s="10">
        <v>655313</v>
      </c>
      <c r="D28" s="10"/>
      <c r="E28" s="10"/>
      <c r="F28" s="10"/>
      <c r="G28" s="10"/>
      <c r="H28" s="10"/>
      <c r="I28" s="10"/>
      <c r="J28" s="10">
        <v>5346762</v>
      </c>
      <c r="K28" s="10">
        <v>20395171</v>
      </c>
      <c r="L28" s="10">
        <v>2488222</v>
      </c>
      <c r="M28" s="10">
        <v>8207170</v>
      </c>
      <c r="N28" s="10">
        <v>3512699</v>
      </c>
      <c r="O28" s="10">
        <v>13672966</v>
      </c>
      <c r="P28" s="10">
        <v>48782</v>
      </c>
      <c r="Q28" s="10">
        <v>139083</v>
      </c>
      <c r="R28" s="10">
        <v>73541</v>
      </c>
      <c r="S28" s="10">
        <v>114397</v>
      </c>
      <c r="T28" s="10"/>
      <c r="U28" s="10"/>
      <c r="V28" s="10">
        <v>1264789</v>
      </c>
      <c r="W28" s="10">
        <v>5468911</v>
      </c>
      <c r="X28" s="10">
        <v>702007</v>
      </c>
      <c r="Y28" s="10">
        <v>2467159</v>
      </c>
      <c r="Z28" s="10">
        <f>1120727+3111224</f>
        <v>4231951</v>
      </c>
      <c r="AA28" s="10">
        <f>3026010+13026967</f>
        <v>16052977</v>
      </c>
      <c r="AB28" s="10">
        <v>8822407</v>
      </c>
      <c r="AC28" s="10">
        <v>35173285</v>
      </c>
      <c r="AD28" s="10">
        <v>5865501</v>
      </c>
      <c r="AE28" s="10">
        <v>21376099</v>
      </c>
      <c r="AF28" s="10">
        <v>209170</v>
      </c>
      <c r="AG28" s="10">
        <v>716349</v>
      </c>
      <c r="AH28" s="10">
        <v>1060209</v>
      </c>
      <c r="AI28" s="10">
        <v>3627950</v>
      </c>
      <c r="AJ28" s="10">
        <v>772973</v>
      </c>
      <c r="AK28" s="10">
        <v>2405152</v>
      </c>
      <c r="AL28" s="10"/>
      <c r="AM28" s="10"/>
      <c r="AN28" s="10"/>
      <c r="AO28" s="10"/>
      <c r="AP28" s="10">
        <v>13060867.916999998</v>
      </c>
      <c r="AQ28" s="10">
        <v>47298094.630999997</v>
      </c>
      <c r="AR28" s="10">
        <v>18154094</v>
      </c>
      <c r="AS28" s="10">
        <v>67448888</v>
      </c>
      <c r="AT28" s="10">
        <v>8756378</v>
      </c>
      <c r="AU28" s="10">
        <v>31347257</v>
      </c>
      <c r="AV28" s="10">
        <f>2794+43170</f>
        <v>45964</v>
      </c>
      <c r="AW28" s="10">
        <f>4220+98270</f>
        <v>102490</v>
      </c>
      <c r="AX28" s="10">
        <v>4634385</v>
      </c>
      <c r="AY28" s="10">
        <v>16927661</v>
      </c>
      <c r="AZ28" s="10"/>
      <c r="BA28" s="10"/>
      <c r="BB28" s="10">
        <v>3512654</v>
      </c>
      <c r="BC28" s="10">
        <v>13130233</v>
      </c>
      <c r="BD28" s="10">
        <v>1844283</v>
      </c>
      <c r="BE28" s="10">
        <v>6895660</v>
      </c>
      <c r="BF28" s="36">
        <v>3174446</v>
      </c>
      <c r="BG28" s="36">
        <v>10382998</v>
      </c>
      <c r="BH28" s="10"/>
      <c r="BI28" s="10"/>
      <c r="BJ28" s="10">
        <v>4834298</v>
      </c>
      <c r="BK28" s="10">
        <v>16679807</v>
      </c>
      <c r="BL28" s="10">
        <v>12470657</v>
      </c>
      <c r="BM28" s="10">
        <v>43319115</v>
      </c>
      <c r="BN28" s="10">
        <f>344094+827325</f>
        <v>1171419</v>
      </c>
      <c r="BO28" s="10">
        <f>3026637+1066258</f>
        <v>4092895</v>
      </c>
      <c r="BP28" s="82">
        <f t="shared" ref="BP28:BP34" si="4">B28+D28+F28+H28+J28+L28+N28+P28+R28+T28+V28+X28+Z28+AB28+AD28+AF28+AH28+AJ28+AL28+AN28+AP28+AR28+AT28+AV28+AX28+AZ28+BB28+BD28+BF28+BH28+BJ28+BL28+BN28</f>
        <v>106231117.917</v>
      </c>
      <c r="BQ28" s="82">
        <f t="shared" ref="BQ28:BQ34" si="5">C28+E28+G28+I28+K28+M28+O28+Q28+S28+U28+W28+Y28+AA28+AC28+AE28+AG28+AI28+AK28+AM28+AO28+AQ28+AS28+AU28+AW28+AY28+BA28+BC28+BE28+BG28+BI28+BK28+BM28+BO28</f>
        <v>388097080.63099998</v>
      </c>
    </row>
    <row r="29" spans="1:69" x14ac:dyDescent="0.25">
      <c r="A29" s="10" t="s">
        <v>291</v>
      </c>
      <c r="B29" s="10">
        <v>598782</v>
      </c>
      <c r="C29" s="10">
        <v>598782</v>
      </c>
      <c r="D29" s="10"/>
      <c r="E29" s="10"/>
      <c r="F29" s="10"/>
      <c r="G29" s="10"/>
      <c r="H29" s="10"/>
      <c r="I29" s="10"/>
      <c r="J29" s="10">
        <v>2981767</v>
      </c>
      <c r="K29" s="10">
        <v>70960655</v>
      </c>
      <c r="L29" s="10">
        <v>472525</v>
      </c>
      <c r="M29" s="10">
        <v>20789158</v>
      </c>
      <c r="N29" s="10">
        <v>52128509</v>
      </c>
      <c r="O29" s="10">
        <v>52128509</v>
      </c>
      <c r="P29" s="10">
        <v>662366</v>
      </c>
      <c r="Q29" s="10">
        <v>662366</v>
      </c>
      <c r="R29" s="10">
        <v>379671</v>
      </c>
      <c r="S29" s="10">
        <v>379671</v>
      </c>
      <c r="T29" s="10"/>
      <c r="U29" s="10"/>
      <c r="V29" s="10">
        <v>17797715</v>
      </c>
      <c r="W29" s="10">
        <v>17797715</v>
      </c>
      <c r="X29" s="10">
        <v>1968366</v>
      </c>
      <c r="Y29" s="10">
        <v>8762275</v>
      </c>
      <c r="Z29" s="10">
        <f>38952857+2457740</f>
        <v>41410597</v>
      </c>
      <c r="AA29" s="10">
        <f>38952857+2457740</f>
        <v>41410597</v>
      </c>
      <c r="AB29" s="10">
        <v>105539066</v>
      </c>
      <c r="AC29" s="10">
        <v>105539066</v>
      </c>
      <c r="AD29" s="10">
        <v>2626840</v>
      </c>
      <c r="AE29" s="10">
        <v>44577678</v>
      </c>
      <c r="AF29" s="10">
        <v>2186158</v>
      </c>
      <c r="AG29" s="10">
        <v>2186158</v>
      </c>
      <c r="AH29" s="10">
        <v>8699096</v>
      </c>
      <c r="AI29" s="10">
        <v>8699096</v>
      </c>
      <c r="AJ29" s="10">
        <v>14445655</v>
      </c>
      <c r="AK29" s="10">
        <v>14445655</v>
      </c>
      <c r="AL29" s="10"/>
      <c r="AM29" s="10"/>
      <c r="AN29" s="10"/>
      <c r="AO29" s="10"/>
      <c r="AP29" s="10">
        <v>6825627.1330000134</v>
      </c>
      <c r="AQ29" s="10">
        <v>139204959.10900003</v>
      </c>
      <c r="AR29" s="10">
        <v>194212361</v>
      </c>
      <c r="AS29" s="10">
        <v>194212361</v>
      </c>
      <c r="AT29" s="10">
        <v>803585</v>
      </c>
      <c r="AU29" s="10">
        <v>112024436</v>
      </c>
      <c r="AV29" s="10">
        <f>6529+210558</f>
        <v>217087</v>
      </c>
      <c r="AW29" s="10">
        <f>7804+1761113</f>
        <v>1768917</v>
      </c>
      <c r="AX29" s="10">
        <v>46572451</v>
      </c>
      <c r="AY29" s="10">
        <v>46572451</v>
      </c>
      <c r="AZ29" s="10"/>
      <c r="BA29" s="10"/>
      <c r="BB29" s="10">
        <v>910077</v>
      </c>
      <c r="BC29" s="10">
        <v>33256984</v>
      </c>
      <c r="BD29" s="10">
        <v>16290500</v>
      </c>
      <c r="BE29" s="10">
        <v>16290500</v>
      </c>
      <c r="BF29" s="36">
        <v>62221302</v>
      </c>
      <c r="BG29" s="36">
        <v>62221301</v>
      </c>
      <c r="BH29" s="10"/>
      <c r="BI29" s="10"/>
      <c r="BJ29" s="10">
        <v>42192986</v>
      </c>
      <c r="BK29" s="10">
        <v>42192986</v>
      </c>
      <c r="BL29" s="10">
        <v>163787253</v>
      </c>
      <c r="BM29" s="10">
        <v>163787253</v>
      </c>
      <c r="BN29" s="10">
        <f>758283+3898</f>
        <v>762181</v>
      </c>
      <c r="BO29" s="10">
        <f>573632+9300971</f>
        <v>9874603</v>
      </c>
      <c r="BP29" s="82">
        <f t="shared" si="4"/>
        <v>786692523.13300002</v>
      </c>
      <c r="BQ29" s="82">
        <f t="shared" si="5"/>
        <v>1210344132.109</v>
      </c>
    </row>
    <row r="30" spans="1:69" x14ac:dyDescent="0.25">
      <c r="A30" s="10" t="s">
        <v>290</v>
      </c>
      <c r="B30" s="10">
        <v>494353</v>
      </c>
      <c r="C30" s="10">
        <v>147214</v>
      </c>
      <c r="D30" s="10"/>
      <c r="E30" s="10"/>
      <c r="F30" s="10"/>
      <c r="G30" s="10"/>
      <c r="H30" s="10"/>
      <c r="I30" s="10"/>
      <c r="J30" s="10"/>
      <c r="K30" s="10">
        <v>57086160</v>
      </c>
      <c r="L30" s="10"/>
      <c r="M30" s="10">
        <v>18160687</v>
      </c>
      <c r="N30" s="10">
        <v>49285781</v>
      </c>
      <c r="O30" s="10">
        <v>40515485</v>
      </c>
      <c r="P30" s="10">
        <v>-434569</v>
      </c>
      <c r="Q30" s="10">
        <v>-25763</v>
      </c>
      <c r="R30" s="10">
        <v>272721</v>
      </c>
      <c r="S30" s="10">
        <v>76214</v>
      </c>
      <c r="T30" s="10"/>
      <c r="U30" s="10"/>
      <c r="V30" s="10">
        <v>16796402</v>
      </c>
      <c r="W30" s="10">
        <v>16199674</v>
      </c>
      <c r="X30" s="10"/>
      <c r="Y30" s="10">
        <v>2221534</v>
      </c>
      <c r="Z30" s="10">
        <f>-36842977-2881312</f>
        <v>-39724289</v>
      </c>
      <c r="AA30" s="10">
        <f>-29869297-2000097</f>
        <v>-31869394</v>
      </c>
      <c r="AB30" s="10">
        <v>102070743</v>
      </c>
      <c r="AC30" s="10">
        <v>88872535</v>
      </c>
      <c r="AD30" s="10"/>
      <c r="AE30" s="10">
        <v>35543029</v>
      </c>
      <c r="AF30" s="10">
        <v>1972349</v>
      </c>
      <c r="AG30" s="10">
        <v>1296747</v>
      </c>
      <c r="AH30" s="10">
        <v>8187647</v>
      </c>
      <c r="AI30" s="10">
        <v>6022056</v>
      </c>
      <c r="AJ30" s="10">
        <v>-13212112</v>
      </c>
      <c r="AK30" s="10">
        <v>-9758919</v>
      </c>
      <c r="AL30" s="10"/>
      <c r="AM30" s="10"/>
      <c r="AN30" s="10"/>
      <c r="AO30" s="10"/>
      <c r="AP30" s="10">
        <v>1.0000169277191162E-3</v>
      </c>
      <c r="AQ30" s="10">
        <v>120611039.62699997</v>
      </c>
      <c r="AR30" s="10">
        <v>191238340</v>
      </c>
      <c r="AS30" s="10">
        <v>173022831</v>
      </c>
      <c r="AT30" s="10">
        <v>0</v>
      </c>
      <c r="AU30" s="10">
        <v>101126016</v>
      </c>
      <c r="AV30" s="10"/>
      <c r="AW30" s="10">
        <f>2796+1086772</f>
        <v>1089568</v>
      </c>
      <c r="AX30" s="10">
        <v>45352231</v>
      </c>
      <c r="AY30" s="10">
        <v>40953020</v>
      </c>
      <c r="AZ30" s="10"/>
      <c r="BA30" s="10"/>
      <c r="BB30" s="10"/>
      <c r="BC30" s="10">
        <v>-27957350</v>
      </c>
      <c r="BD30" s="10">
        <v>15941186</v>
      </c>
      <c r="BE30" s="10">
        <v>14680991</v>
      </c>
      <c r="BF30" s="36">
        <v>61529281</v>
      </c>
      <c r="BG30" s="36">
        <v>57492388</v>
      </c>
      <c r="BH30" s="10"/>
      <c r="BI30" s="10"/>
      <c r="BJ30" s="10">
        <v>38081464</v>
      </c>
      <c r="BK30" s="10">
        <v>28207084</v>
      </c>
      <c r="BL30" s="10">
        <v>158420404</v>
      </c>
      <c r="BM30" s="10">
        <v>141142353</v>
      </c>
      <c r="BN30" s="10"/>
      <c r="BO30" s="10">
        <f>407518+6764302</f>
        <v>7171820</v>
      </c>
      <c r="BP30" s="82">
        <f t="shared" si="4"/>
        <v>636271932.00100005</v>
      </c>
      <c r="BQ30" s="82">
        <f t="shared" si="5"/>
        <v>882027019.62699997</v>
      </c>
    </row>
    <row r="31" spans="1:69" x14ac:dyDescent="0.25">
      <c r="A31" s="26" t="s">
        <v>294</v>
      </c>
      <c r="B31" s="10"/>
      <c r="C31" s="10"/>
      <c r="D31" s="10"/>
      <c r="E31" s="10"/>
      <c r="F31" s="10"/>
      <c r="G31" s="10"/>
      <c r="H31" s="10"/>
      <c r="I31" s="10"/>
      <c r="J31" s="10">
        <v>8328529</v>
      </c>
      <c r="K31" s="10">
        <v>34269666</v>
      </c>
      <c r="L31" s="10"/>
      <c r="M31" s="10"/>
      <c r="N31" s="10">
        <v>6355427</v>
      </c>
      <c r="O31" s="10">
        <v>25285990</v>
      </c>
      <c r="P31" s="10">
        <v>276579</v>
      </c>
      <c r="Q31" s="10">
        <v>775686</v>
      </c>
      <c r="R31" s="10">
        <v>180491</v>
      </c>
      <c r="S31" s="10">
        <v>417854</v>
      </c>
      <c r="T31" s="10"/>
      <c r="U31" s="10"/>
      <c r="V31" s="10"/>
      <c r="W31" s="10"/>
      <c r="X31" s="10"/>
      <c r="Y31" s="10"/>
      <c r="Z31" s="10">
        <f>3230606+2687652</f>
        <v>5918258</v>
      </c>
      <c r="AA31" s="10">
        <f>12109570+13484610</f>
        <v>25594180</v>
      </c>
      <c r="AB31" s="10">
        <v>12290730</v>
      </c>
      <c r="AC31" s="10">
        <v>51839816</v>
      </c>
      <c r="AD31" s="10">
        <v>8492341</v>
      </c>
      <c r="AE31" s="10">
        <v>30410748</v>
      </c>
      <c r="AF31" s="10">
        <v>422979</v>
      </c>
      <c r="AG31" s="10">
        <v>1605760</v>
      </c>
      <c r="AH31" s="10">
        <v>1571659</v>
      </c>
      <c r="AI31" s="10">
        <v>6304990</v>
      </c>
      <c r="AJ31" s="10">
        <v>2006516</v>
      </c>
      <c r="AK31" s="10">
        <v>7091888</v>
      </c>
      <c r="AL31" s="10"/>
      <c r="AM31" s="10"/>
      <c r="AN31" s="10"/>
      <c r="AO31" s="10"/>
      <c r="AP31" s="10"/>
      <c r="AQ31" s="10"/>
      <c r="AR31" s="10">
        <v>21128115</v>
      </c>
      <c r="AS31" s="10">
        <v>88638418</v>
      </c>
      <c r="AT31" s="10">
        <v>9559963</v>
      </c>
      <c r="AU31" s="10">
        <v>42245678</v>
      </c>
      <c r="AV31" s="10">
        <f>9323+253728</f>
        <v>263051</v>
      </c>
      <c r="AW31" s="10">
        <f>9228+772612</f>
        <v>781840</v>
      </c>
      <c r="AX31" s="10"/>
      <c r="AY31" s="10"/>
      <c r="AZ31" s="10"/>
      <c r="BA31" s="10"/>
      <c r="BB31" s="10">
        <v>4422731</v>
      </c>
      <c r="BC31" s="10">
        <v>18429867</v>
      </c>
      <c r="BD31" s="10"/>
      <c r="BE31" s="10"/>
      <c r="BF31" s="10"/>
      <c r="BG31" s="10"/>
      <c r="BH31" s="10"/>
      <c r="BI31" s="10"/>
      <c r="BJ31" s="10">
        <v>8945820</v>
      </c>
      <c r="BK31" s="10">
        <v>30665709</v>
      </c>
      <c r="BL31" s="10">
        <v>17837506</v>
      </c>
      <c r="BM31" s="10">
        <v>65964015</v>
      </c>
      <c r="BN31" s="10">
        <f>1102377+831223</f>
        <v>1933600</v>
      </c>
      <c r="BO31" s="10">
        <f>3192751+3602927</f>
        <v>6795678</v>
      </c>
      <c r="BP31" s="82">
        <f t="shared" si="4"/>
        <v>109934295</v>
      </c>
      <c r="BQ31" s="82">
        <f t="shared" si="5"/>
        <v>437117783</v>
      </c>
    </row>
    <row r="32" spans="1:69" x14ac:dyDescent="0.25">
      <c r="A32" s="26" t="s">
        <v>288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>
        <v>69624</v>
      </c>
      <c r="Y32" s="10">
        <v>69624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1363.1750000000002</v>
      </c>
      <c r="AQ32" s="10">
        <v>13173.225</v>
      </c>
      <c r="AR32" s="10"/>
      <c r="AS32" s="10"/>
      <c r="AT32" s="10">
        <v>66639</v>
      </c>
      <c r="AU32" s="10">
        <v>42317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>
        <v>0</v>
      </c>
      <c r="BM32" s="10">
        <v>0</v>
      </c>
      <c r="BN32" s="10"/>
      <c r="BO32" s="10"/>
      <c r="BP32" s="82">
        <f t="shared" si="4"/>
        <v>137626.17499999999</v>
      </c>
      <c r="BQ32" s="82">
        <f t="shared" si="5"/>
        <v>125114.22500000001</v>
      </c>
    </row>
    <row r="33" spans="1:69" x14ac:dyDescent="0.25">
      <c r="A33" s="26" t="s">
        <v>289</v>
      </c>
      <c r="B33" s="10">
        <v>104646</v>
      </c>
      <c r="C33" s="10">
        <v>380457</v>
      </c>
      <c r="D33" s="10"/>
      <c r="E33" s="10"/>
      <c r="F33" s="10"/>
      <c r="G33" s="10"/>
      <c r="H33" s="10"/>
      <c r="I33" s="10"/>
      <c r="J33" s="10">
        <v>508041</v>
      </c>
      <c r="K33" s="10">
        <v>2087866</v>
      </c>
      <c r="L33" s="10">
        <v>174547</v>
      </c>
      <c r="M33" s="10">
        <v>590764</v>
      </c>
      <c r="N33" s="10">
        <v>749061</v>
      </c>
      <c r="O33" s="10">
        <v>2336048</v>
      </c>
      <c r="P33" s="10"/>
      <c r="Q33" s="10"/>
      <c r="R33" s="10">
        <v>8888</v>
      </c>
      <c r="S33" s="10">
        <v>-51703</v>
      </c>
      <c r="T33" s="10"/>
      <c r="U33" s="10"/>
      <c r="V33" s="10">
        <v>81933</v>
      </c>
      <c r="W33" s="10">
        <v>345830</v>
      </c>
      <c r="X33" s="10">
        <v>166158</v>
      </c>
      <c r="Y33" s="10">
        <v>476346</v>
      </c>
      <c r="Z33" s="10"/>
      <c r="AA33" s="10"/>
      <c r="AB33" s="10"/>
      <c r="AC33" s="10"/>
      <c r="AD33" s="10">
        <v>2308501</v>
      </c>
      <c r="AE33" s="10">
        <v>5421981</v>
      </c>
      <c r="AF33" s="10">
        <v>10473</v>
      </c>
      <c r="AG33" s="10">
        <v>37607</v>
      </c>
      <c r="AH33" s="10">
        <v>53142</v>
      </c>
      <c r="AI33" s="10">
        <v>198398</v>
      </c>
      <c r="AJ33" s="10"/>
      <c r="AK33" s="10"/>
      <c r="AL33" s="10"/>
      <c r="AM33" s="10"/>
      <c r="AN33" s="10"/>
      <c r="AO33" s="10"/>
      <c r="AP33" s="10">
        <v>7318496.9459999995</v>
      </c>
      <c r="AQ33" s="10">
        <v>13874877.622</v>
      </c>
      <c r="AR33" s="10"/>
      <c r="AS33" s="10"/>
      <c r="AT33" s="10">
        <v>-946868</v>
      </c>
      <c r="AU33" s="10">
        <v>-990504</v>
      </c>
      <c r="AV33" s="10">
        <f>140+2159</f>
        <v>2299</v>
      </c>
      <c r="AW33" s="10">
        <f>211+4917</f>
        <v>5128</v>
      </c>
      <c r="AX33" s="10">
        <v>1070779</v>
      </c>
      <c r="AY33" s="10">
        <v>4240369</v>
      </c>
      <c r="AZ33" s="10"/>
      <c r="BA33" s="10"/>
      <c r="BB33" s="10"/>
      <c r="BC33" s="10"/>
      <c r="BD33" s="10">
        <v>306728</v>
      </c>
      <c r="BE33" s="10">
        <v>722777</v>
      </c>
      <c r="BF33" s="36">
        <v>179083</v>
      </c>
      <c r="BG33" s="36">
        <v>553197</v>
      </c>
      <c r="BH33" s="10"/>
      <c r="BI33" s="10"/>
      <c r="BJ33" s="10">
        <v>1485548</v>
      </c>
      <c r="BK33" s="10">
        <v>4974453</v>
      </c>
      <c r="BL33" s="10">
        <v>692100</v>
      </c>
      <c r="BM33" s="10">
        <v>5187541</v>
      </c>
      <c r="BN33" s="10">
        <f>17824+41537</f>
        <v>59361</v>
      </c>
      <c r="BO33" s="10">
        <f>175683+62821</f>
        <v>238504</v>
      </c>
      <c r="BP33" s="82">
        <f t="shared" si="4"/>
        <v>14332916.945999999</v>
      </c>
      <c r="BQ33" s="82">
        <f t="shared" si="5"/>
        <v>40629936.622000001</v>
      </c>
    </row>
    <row r="34" spans="1:69" x14ac:dyDescent="0.25">
      <c r="A34" s="26" t="s">
        <v>285</v>
      </c>
      <c r="B34" s="10">
        <v>172442</v>
      </c>
      <c r="C34" s="10">
        <v>726424</v>
      </c>
      <c r="D34" s="10"/>
      <c r="E34" s="10"/>
      <c r="F34" s="10"/>
      <c r="G34" s="10"/>
      <c r="H34" s="10"/>
      <c r="I34" s="10"/>
      <c r="J34" s="10">
        <v>7820488</v>
      </c>
      <c r="K34" s="10">
        <v>32181800</v>
      </c>
      <c r="L34" s="10">
        <v>2786199</v>
      </c>
      <c r="M34" s="10">
        <v>10244877</v>
      </c>
      <c r="N34" s="10">
        <v>5606366</v>
      </c>
      <c r="O34" s="10">
        <v>22949942</v>
      </c>
      <c r="P34" s="10">
        <v>242995</v>
      </c>
      <c r="Q34" s="10">
        <v>678903</v>
      </c>
      <c r="R34" s="10">
        <v>171603</v>
      </c>
      <c r="S34" s="10">
        <v>469557</v>
      </c>
      <c r="T34" s="10"/>
      <c r="U34" s="10"/>
      <c r="V34" s="10">
        <v>2184168</v>
      </c>
      <c r="W34" s="10">
        <v>6721121</v>
      </c>
      <c r="X34" s="10">
        <v>2573839</v>
      </c>
      <c r="Y34" s="10">
        <v>8601178</v>
      </c>
      <c r="Z34" s="10">
        <f>2369327+2105771</f>
        <v>4475098</v>
      </c>
      <c r="AA34" s="10">
        <f>8802679+10380603</f>
        <v>19183282</v>
      </c>
      <c r="AB34" s="10">
        <v>11094193</v>
      </c>
      <c r="AC34" s="10">
        <v>46835786</v>
      </c>
      <c r="AD34" s="10">
        <v>6183840</v>
      </c>
      <c r="AE34" s="10">
        <v>24988767</v>
      </c>
      <c r="AF34" s="10">
        <v>412506</v>
      </c>
      <c r="AG34" s="10">
        <v>1568153</v>
      </c>
      <c r="AH34" s="10">
        <v>1491998</v>
      </c>
      <c r="AI34" s="10">
        <v>5993136</v>
      </c>
      <c r="AJ34" s="10">
        <v>1555181</v>
      </c>
      <c r="AK34" s="10">
        <v>5634405</v>
      </c>
      <c r="AL34" s="10"/>
      <c r="AM34" s="10"/>
      <c r="AN34" s="10"/>
      <c r="AO34" s="10"/>
      <c r="AP34" s="10">
        <v>12569361.277999995</v>
      </c>
      <c r="AQ34" s="10">
        <v>52030309.71600005</v>
      </c>
      <c r="AR34" s="10">
        <v>19691807</v>
      </c>
      <c r="AS34" s="10">
        <v>83898348</v>
      </c>
      <c r="AT34" s="10">
        <v>10573470</v>
      </c>
      <c r="AU34" s="10">
        <v>43278498</v>
      </c>
      <c r="AV34" s="10">
        <f>9184+251570</f>
        <v>260754</v>
      </c>
      <c r="AW34" s="10">
        <f>9017+767695</f>
        <v>776712</v>
      </c>
      <c r="AX34" s="10">
        <v>4783826</v>
      </c>
      <c r="AY34" s="10">
        <v>18306723</v>
      </c>
      <c r="AZ34" s="10"/>
      <c r="BA34" s="10"/>
      <c r="BB34" s="10">
        <v>3756001</v>
      </c>
      <c r="BC34" s="10">
        <v>15599379</v>
      </c>
      <c r="BD34" s="10">
        <v>1886869</v>
      </c>
      <c r="BE34" s="10">
        <v>7782392</v>
      </c>
      <c r="BF34" s="36">
        <v>3687384</v>
      </c>
      <c r="BG34" s="36">
        <v>14558714</v>
      </c>
      <c r="BH34" s="10"/>
      <c r="BI34" s="10"/>
      <c r="BJ34" s="10">
        <v>7460272</v>
      </c>
      <c r="BK34" s="10">
        <v>25691256</v>
      </c>
      <c r="BL34" s="10">
        <v>17145406</v>
      </c>
      <c r="BM34" s="10">
        <v>60776474</v>
      </c>
      <c r="BN34" s="10">
        <f>1084553+789686</f>
        <v>1874239</v>
      </c>
      <c r="BO34" s="10">
        <f>3017068+3540106</f>
        <v>6557174</v>
      </c>
      <c r="BP34" s="82">
        <f t="shared" si="4"/>
        <v>130460305.278</v>
      </c>
      <c r="BQ34" s="82">
        <f t="shared" si="5"/>
        <v>516033310.71600008</v>
      </c>
    </row>
    <row r="35" spans="1:69" x14ac:dyDescent="0.25">
      <c r="A35" s="18"/>
    </row>
    <row r="36" spans="1:69" x14ac:dyDescent="0.25">
      <c r="A36" s="33" t="s">
        <v>231</v>
      </c>
    </row>
    <row r="37" spans="1:69" x14ac:dyDescent="0.25">
      <c r="A37" s="3" t="s">
        <v>0</v>
      </c>
      <c r="B37" s="111" t="s">
        <v>1</v>
      </c>
      <c r="C37" s="112"/>
      <c r="D37" s="111" t="s">
        <v>2</v>
      </c>
      <c r="E37" s="112"/>
      <c r="F37" s="111" t="s">
        <v>3</v>
      </c>
      <c r="G37" s="112"/>
      <c r="H37" s="111" t="s">
        <v>295</v>
      </c>
      <c r="I37" s="112"/>
      <c r="J37" s="111" t="s">
        <v>5</v>
      </c>
      <c r="K37" s="112"/>
      <c r="L37" s="111" t="s">
        <v>6</v>
      </c>
      <c r="M37" s="112"/>
      <c r="N37" s="111" t="s">
        <v>7</v>
      </c>
      <c r="O37" s="112"/>
      <c r="P37" s="111" t="s">
        <v>309</v>
      </c>
      <c r="Q37" s="112"/>
      <c r="R37" s="111" t="s">
        <v>9</v>
      </c>
      <c r="S37" s="112"/>
      <c r="T37" s="111" t="s">
        <v>10</v>
      </c>
      <c r="U37" s="112"/>
      <c r="V37" s="111" t="s">
        <v>11</v>
      </c>
      <c r="W37" s="112"/>
      <c r="X37" s="111" t="s">
        <v>12</v>
      </c>
      <c r="Y37" s="112"/>
      <c r="Z37" s="111" t="s">
        <v>13</v>
      </c>
      <c r="AA37" s="112"/>
      <c r="AB37" s="111" t="s">
        <v>14</v>
      </c>
      <c r="AC37" s="112"/>
      <c r="AD37" s="111" t="s">
        <v>15</v>
      </c>
      <c r="AE37" s="112"/>
      <c r="AF37" s="111" t="s">
        <v>16</v>
      </c>
      <c r="AG37" s="112"/>
      <c r="AH37" s="111" t="s">
        <v>17</v>
      </c>
      <c r="AI37" s="112"/>
      <c r="AJ37" s="111" t="s">
        <v>18</v>
      </c>
      <c r="AK37" s="112"/>
      <c r="AL37" s="111" t="s">
        <v>293</v>
      </c>
      <c r="AM37" s="112"/>
      <c r="AN37" s="111" t="s">
        <v>19</v>
      </c>
      <c r="AO37" s="112"/>
      <c r="AP37" s="111" t="s">
        <v>20</v>
      </c>
      <c r="AQ37" s="112"/>
      <c r="AR37" s="111" t="s">
        <v>21</v>
      </c>
      <c r="AS37" s="112"/>
      <c r="AT37" s="111" t="s">
        <v>22</v>
      </c>
      <c r="AU37" s="112"/>
      <c r="AV37" s="111" t="s">
        <v>23</v>
      </c>
      <c r="AW37" s="112"/>
      <c r="AX37" s="111" t="s">
        <v>24</v>
      </c>
      <c r="AY37" s="112"/>
      <c r="AZ37" s="111" t="s">
        <v>25</v>
      </c>
      <c r="BA37" s="112"/>
      <c r="BB37" s="111" t="s">
        <v>26</v>
      </c>
      <c r="BC37" s="112"/>
      <c r="BD37" s="111" t="s">
        <v>27</v>
      </c>
      <c r="BE37" s="112"/>
      <c r="BF37" s="111" t="s">
        <v>28</v>
      </c>
      <c r="BG37" s="112"/>
      <c r="BH37" s="111" t="s">
        <v>29</v>
      </c>
      <c r="BI37" s="112"/>
      <c r="BJ37" s="111" t="s">
        <v>30</v>
      </c>
      <c r="BK37" s="112"/>
      <c r="BL37" s="115" t="s">
        <v>31</v>
      </c>
      <c r="BM37" s="116"/>
      <c r="BN37" s="111" t="s">
        <v>32</v>
      </c>
      <c r="BO37" s="112"/>
      <c r="BP37" s="113" t="s">
        <v>33</v>
      </c>
      <c r="BQ37" s="114"/>
    </row>
    <row r="38" spans="1:69" ht="30" x14ac:dyDescent="0.25">
      <c r="A38" s="3"/>
      <c r="B38" s="66" t="s">
        <v>298</v>
      </c>
      <c r="C38" s="67" t="s">
        <v>299</v>
      </c>
      <c r="D38" s="66" t="s">
        <v>298</v>
      </c>
      <c r="E38" s="67" t="s">
        <v>299</v>
      </c>
      <c r="F38" s="66" t="s">
        <v>298</v>
      </c>
      <c r="G38" s="67" t="s">
        <v>299</v>
      </c>
      <c r="H38" s="66" t="s">
        <v>298</v>
      </c>
      <c r="I38" s="67" t="s">
        <v>299</v>
      </c>
      <c r="J38" s="66" t="s">
        <v>298</v>
      </c>
      <c r="K38" s="67" t="s">
        <v>299</v>
      </c>
      <c r="L38" s="66" t="s">
        <v>298</v>
      </c>
      <c r="M38" s="67" t="s">
        <v>299</v>
      </c>
      <c r="N38" s="66" t="s">
        <v>298</v>
      </c>
      <c r="O38" s="67" t="s">
        <v>299</v>
      </c>
      <c r="P38" s="66" t="s">
        <v>298</v>
      </c>
      <c r="Q38" s="67" t="s">
        <v>299</v>
      </c>
      <c r="R38" s="66" t="s">
        <v>298</v>
      </c>
      <c r="S38" s="67" t="s">
        <v>299</v>
      </c>
      <c r="T38" s="66" t="s">
        <v>298</v>
      </c>
      <c r="U38" s="67" t="s">
        <v>299</v>
      </c>
      <c r="V38" s="66" t="s">
        <v>298</v>
      </c>
      <c r="W38" s="67" t="s">
        <v>299</v>
      </c>
      <c r="X38" s="66" t="s">
        <v>298</v>
      </c>
      <c r="Y38" s="67" t="s">
        <v>299</v>
      </c>
      <c r="Z38" s="66" t="s">
        <v>298</v>
      </c>
      <c r="AA38" s="67" t="s">
        <v>299</v>
      </c>
      <c r="AB38" s="66" t="s">
        <v>298</v>
      </c>
      <c r="AC38" s="67" t="s">
        <v>299</v>
      </c>
      <c r="AD38" s="66" t="s">
        <v>298</v>
      </c>
      <c r="AE38" s="67" t="s">
        <v>299</v>
      </c>
      <c r="AF38" s="66" t="s">
        <v>298</v>
      </c>
      <c r="AG38" s="67" t="s">
        <v>299</v>
      </c>
      <c r="AH38" s="66" t="s">
        <v>298</v>
      </c>
      <c r="AI38" s="67" t="s">
        <v>299</v>
      </c>
      <c r="AJ38" s="66" t="s">
        <v>298</v>
      </c>
      <c r="AK38" s="67" t="s">
        <v>299</v>
      </c>
      <c r="AL38" s="66" t="s">
        <v>298</v>
      </c>
      <c r="AM38" s="67" t="s">
        <v>299</v>
      </c>
      <c r="AN38" s="66" t="s">
        <v>298</v>
      </c>
      <c r="AO38" s="67" t="s">
        <v>299</v>
      </c>
      <c r="AP38" s="66" t="s">
        <v>298</v>
      </c>
      <c r="AQ38" s="67" t="s">
        <v>299</v>
      </c>
      <c r="AR38" s="66" t="s">
        <v>298</v>
      </c>
      <c r="AS38" s="67" t="s">
        <v>299</v>
      </c>
      <c r="AT38" s="66" t="s">
        <v>298</v>
      </c>
      <c r="AU38" s="67" t="s">
        <v>299</v>
      </c>
      <c r="AV38" s="66" t="s">
        <v>298</v>
      </c>
      <c r="AW38" s="67" t="s">
        <v>299</v>
      </c>
      <c r="AX38" s="66" t="s">
        <v>298</v>
      </c>
      <c r="AY38" s="67" t="s">
        <v>299</v>
      </c>
      <c r="AZ38" s="66" t="s">
        <v>298</v>
      </c>
      <c r="BA38" s="67" t="s">
        <v>299</v>
      </c>
      <c r="BB38" s="66" t="s">
        <v>298</v>
      </c>
      <c r="BC38" s="67" t="s">
        <v>299</v>
      </c>
      <c r="BD38" s="66" t="s">
        <v>298</v>
      </c>
      <c r="BE38" s="67" t="s">
        <v>299</v>
      </c>
      <c r="BF38" s="66" t="s">
        <v>298</v>
      </c>
      <c r="BG38" s="67" t="s">
        <v>299</v>
      </c>
      <c r="BH38" s="66" t="s">
        <v>298</v>
      </c>
      <c r="BI38" s="67" t="s">
        <v>299</v>
      </c>
      <c r="BJ38" s="66" t="s">
        <v>298</v>
      </c>
      <c r="BK38" s="67" t="s">
        <v>299</v>
      </c>
      <c r="BL38" s="66" t="s">
        <v>298</v>
      </c>
      <c r="BM38" s="67" t="s">
        <v>299</v>
      </c>
      <c r="BN38" s="66" t="s">
        <v>298</v>
      </c>
      <c r="BO38" s="67" t="s">
        <v>299</v>
      </c>
      <c r="BP38" s="66" t="s">
        <v>298</v>
      </c>
      <c r="BQ38" s="67" t="s">
        <v>299</v>
      </c>
    </row>
    <row r="39" spans="1:69" x14ac:dyDescent="0.25">
      <c r="A39" s="26" t="s">
        <v>240</v>
      </c>
      <c r="B39" s="10"/>
      <c r="C39" s="10"/>
      <c r="D39" s="10"/>
      <c r="E39" s="10"/>
      <c r="F39" s="10"/>
      <c r="G39" s="10"/>
      <c r="H39" s="10"/>
      <c r="I39" s="10"/>
      <c r="J39" s="10">
        <v>113275</v>
      </c>
      <c r="K39" s="10">
        <v>497637</v>
      </c>
      <c r="L39" s="10">
        <v>46302</v>
      </c>
      <c r="M39" s="10">
        <v>320619</v>
      </c>
      <c r="N39" s="10">
        <v>37765</v>
      </c>
      <c r="O39" s="10">
        <v>89195</v>
      </c>
      <c r="P39" s="10"/>
      <c r="Q39" s="10"/>
      <c r="R39" s="10"/>
      <c r="S39" s="10"/>
      <c r="T39" s="10"/>
      <c r="U39" s="10"/>
      <c r="V39" s="10">
        <v>28929</v>
      </c>
      <c r="W39" s="10">
        <v>132867</v>
      </c>
      <c r="X39" s="10">
        <v>8</v>
      </c>
      <c r="Y39" s="10">
        <v>8</v>
      </c>
      <c r="Z39" s="10">
        <v>248353</v>
      </c>
      <c r="AA39" s="10">
        <v>887857</v>
      </c>
      <c r="AB39" s="10">
        <v>355147</v>
      </c>
      <c r="AC39" s="10">
        <v>1046801</v>
      </c>
      <c r="AD39" s="10">
        <v>80910</v>
      </c>
      <c r="AE39" s="10">
        <v>269252</v>
      </c>
      <c r="AF39" s="10"/>
      <c r="AG39" s="10"/>
      <c r="AH39" s="10">
        <v>26794</v>
      </c>
      <c r="AI39" s="10">
        <v>134603</v>
      </c>
      <c r="AJ39" s="10">
        <v>5922</v>
      </c>
      <c r="AK39" s="10">
        <v>12550</v>
      </c>
      <c r="AL39" s="10"/>
      <c r="AM39" s="10"/>
      <c r="AN39" s="10"/>
      <c r="AO39" s="10"/>
      <c r="AP39" s="10">
        <v>436353.24599999993</v>
      </c>
      <c r="AQ39" s="10">
        <v>1061733.605</v>
      </c>
      <c r="AR39" s="10">
        <v>441723</v>
      </c>
      <c r="AS39" s="10">
        <v>2181934</v>
      </c>
      <c r="AT39" s="10">
        <v>253768</v>
      </c>
      <c r="AU39" s="10">
        <v>838171</v>
      </c>
      <c r="AV39" s="10">
        <v>153</v>
      </c>
      <c r="AW39" s="10">
        <v>429</v>
      </c>
      <c r="AX39" s="10">
        <v>149317</v>
      </c>
      <c r="AY39" s="10">
        <v>312128</v>
      </c>
      <c r="AZ39" s="10"/>
      <c r="BA39" s="10"/>
      <c r="BB39" s="10">
        <v>150345</v>
      </c>
      <c r="BC39" s="10">
        <v>304302</v>
      </c>
      <c r="BD39" s="10">
        <v>22344</v>
      </c>
      <c r="BE39" s="10">
        <v>147025</v>
      </c>
      <c r="BF39" s="36">
        <v>36601</v>
      </c>
      <c r="BG39" s="36">
        <v>97448</v>
      </c>
      <c r="BH39" s="10"/>
      <c r="BI39" s="10"/>
      <c r="BJ39" s="10">
        <v>92410</v>
      </c>
      <c r="BK39" s="10">
        <v>208999</v>
      </c>
      <c r="BL39" s="10">
        <v>1720620</v>
      </c>
      <c r="BM39" s="10">
        <v>3055076</v>
      </c>
      <c r="BN39" s="10">
        <v>6089</v>
      </c>
      <c r="BO39" s="10">
        <v>15621</v>
      </c>
      <c r="BP39" s="82">
        <f t="shared" ref="BP39:BP45" si="6">B39+D39+F39+H39+J39+L39+N39+P39+R39+T39+V39+X39+Z39+AB39+AD39+AF39+AH39+AJ39+AL39+AN39+AP39+AR39+AT39+AV39+AX39+AZ39+BB39+BD39+BF39+BH39+BJ39+BL39+BN39</f>
        <v>4253128.2459999993</v>
      </c>
      <c r="BQ39" s="82">
        <f t="shared" ref="BQ39:BQ45" si="7">C39+E39+G39+I39+K39+M39+O39+Q39+S39+U39+W39+Y39+AA39+AC39+AE39+AG39+AI39+AK39+AM39+AO39+AQ39+AS39+AU39+AW39+AY39+BA39+BC39+BE39+BG39+BI39+BK39+BM39+BO39</f>
        <v>11614255.605</v>
      </c>
    </row>
    <row r="40" spans="1:69" x14ac:dyDescent="0.25">
      <c r="A40" s="10" t="s">
        <v>291</v>
      </c>
      <c r="B40" s="10"/>
      <c r="C40" s="10"/>
      <c r="D40" s="10"/>
      <c r="E40" s="10"/>
      <c r="F40" s="10"/>
      <c r="G40" s="10"/>
      <c r="H40" s="10"/>
      <c r="I40" s="10"/>
      <c r="J40" s="10">
        <v>23807</v>
      </c>
      <c r="K40" s="10">
        <v>252860</v>
      </c>
      <c r="L40" s="10">
        <v>-9688</v>
      </c>
      <c r="M40" s="10">
        <v>111065</v>
      </c>
      <c r="N40" s="10">
        <v>55282</v>
      </c>
      <c r="O40" s="10">
        <v>55282</v>
      </c>
      <c r="P40" s="10">
        <v>3845</v>
      </c>
      <c r="Q40" s="10">
        <v>3845</v>
      </c>
      <c r="R40" s="10">
        <v>3252</v>
      </c>
      <c r="S40" s="10">
        <v>3252</v>
      </c>
      <c r="T40" s="10"/>
      <c r="U40" s="10"/>
      <c r="V40" s="10">
        <v>106996</v>
      </c>
      <c r="W40" s="10">
        <v>106996</v>
      </c>
      <c r="X40" s="10">
        <v>2170</v>
      </c>
      <c r="Y40" s="10">
        <v>6542</v>
      </c>
      <c r="Z40" s="10">
        <v>2310386</v>
      </c>
      <c r="AA40" s="10">
        <v>2310386</v>
      </c>
      <c r="AB40" s="10">
        <v>4066521</v>
      </c>
      <c r="AC40" s="10">
        <v>4066521</v>
      </c>
      <c r="AD40" s="10">
        <v>-35516</v>
      </c>
      <c r="AE40" s="10">
        <v>216850</v>
      </c>
      <c r="AF40" s="10">
        <v>1023</v>
      </c>
      <c r="AG40" s="10">
        <v>1023</v>
      </c>
      <c r="AH40" s="10">
        <v>190822</v>
      </c>
      <c r="AI40" s="10">
        <v>190822</v>
      </c>
      <c r="AJ40" s="10">
        <v>106889</v>
      </c>
      <c r="AK40" s="10">
        <v>106889</v>
      </c>
      <c r="AL40" s="10"/>
      <c r="AM40" s="10"/>
      <c r="AN40" s="10"/>
      <c r="AO40" s="10"/>
      <c r="AP40" s="10">
        <v>-357416.34999999963</v>
      </c>
      <c r="AQ40" s="10">
        <v>3093729.2790000001</v>
      </c>
      <c r="AR40" s="10">
        <v>8404933</v>
      </c>
      <c r="AS40" s="10">
        <v>8404933</v>
      </c>
      <c r="AT40" s="10">
        <v>-450978</v>
      </c>
      <c r="AU40" s="10">
        <v>3738344</v>
      </c>
      <c r="AV40" s="10">
        <v>-541</v>
      </c>
      <c r="AW40" s="10">
        <v>870</v>
      </c>
      <c r="AX40" s="10">
        <v>416962</v>
      </c>
      <c r="AY40" s="10">
        <v>416962</v>
      </c>
      <c r="AZ40" s="10"/>
      <c r="BA40" s="10"/>
      <c r="BB40" s="10">
        <v>-236170</v>
      </c>
      <c r="BC40" s="10">
        <v>837333</v>
      </c>
      <c r="BD40" s="10">
        <v>92842</v>
      </c>
      <c r="BE40" s="10">
        <v>92842</v>
      </c>
      <c r="BF40" s="36">
        <v>110665</v>
      </c>
      <c r="BG40" s="36">
        <v>110665</v>
      </c>
      <c r="BH40" s="10"/>
      <c r="BI40" s="10"/>
      <c r="BJ40" s="10">
        <v>92390</v>
      </c>
      <c r="BK40" s="10">
        <v>92390</v>
      </c>
      <c r="BL40" s="10">
        <v>3969245</v>
      </c>
      <c r="BM40" s="10">
        <v>3969245</v>
      </c>
      <c r="BN40" s="10">
        <v>-57597</v>
      </c>
      <c r="BO40" s="10">
        <v>43219</v>
      </c>
      <c r="BP40" s="82">
        <f t="shared" si="6"/>
        <v>18810123.649999999</v>
      </c>
      <c r="BQ40" s="82">
        <f t="shared" si="7"/>
        <v>28232865.278999999</v>
      </c>
    </row>
    <row r="41" spans="1:69" x14ac:dyDescent="0.25">
      <c r="A41" s="10" t="s">
        <v>290</v>
      </c>
      <c r="B41" s="10"/>
      <c r="C41" s="10"/>
      <c r="D41" s="10"/>
      <c r="E41" s="10"/>
      <c r="F41" s="10"/>
      <c r="G41" s="10"/>
      <c r="H41" s="10"/>
      <c r="I41" s="10"/>
      <c r="J41" s="10"/>
      <c r="K41" s="10">
        <v>208077</v>
      </c>
      <c r="L41" s="10"/>
      <c r="M41" s="10">
        <v>103869</v>
      </c>
      <c r="N41" s="10">
        <v>54668</v>
      </c>
      <c r="O41" s="10">
        <v>35270</v>
      </c>
      <c r="P41" s="10">
        <v>-3372</v>
      </c>
      <c r="Q41" s="10">
        <v>-1841</v>
      </c>
      <c r="R41" s="10">
        <v>2517</v>
      </c>
      <c r="S41" s="10">
        <v>2716</v>
      </c>
      <c r="T41" s="10"/>
      <c r="U41" s="10"/>
      <c r="V41" s="10">
        <v>114126</v>
      </c>
      <c r="W41" s="10">
        <v>91941</v>
      </c>
      <c r="X41" s="10"/>
      <c r="Y41" s="10">
        <v>1199</v>
      </c>
      <c r="Z41" s="10">
        <v>-1658449</v>
      </c>
      <c r="AA41" s="10">
        <v>-1002597</v>
      </c>
      <c r="AB41" s="10">
        <v>4002299</v>
      </c>
      <c r="AC41" s="10">
        <v>3359540</v>
      </c>
      <c r="AD41" s="10"/>
      <c r="AE41" s="10">
        <v>202514</v>
      </c>
      <c r="AF41" s="10">
        <v>692</v>
      </c>
      <c r="AG41" s="10">
        <v>140</v>
      </c>
      <c r="AH41" s="10">
        <v>198075</v>
      </c>
      <c r="AI41" s="10">
        <v>423528</v>
      </c>
      <c r="AJ41" s="10">
        <v>-100252</v>
      </c>
      <c r="AK41" s="10">
        <v>-117389</v>
      </c>
      <c r="AL41" s="10"/>
      <c r="AM41" s="10"/>
      <c r="AN41" s="10"/>
      <c r="AO41" s="10"/>
      <c r="AP41" s="10"/>
      <c r="AQ41" s="10">
        <v>2887581.7609999999</v>
      </c>
      <c r="AR41" s="10">
        <v>7250130</v>
      </c>
      <c r="AS41" s="10">
        <v>5822990</v>
      </c>
      <c r="AT41" s="10">
        <v>0</v>
      </c>
      <c r="AU41" s="10">
        <v>3205119</v>
      </c>
      <c r="AV41" s="10"/>
      <c r="AW41" s="10">
        <v>927</v>
      </c>
      <c r="AX41" s="10">
        <v>419522</v>
      </c>
      <c r="AY41" s="10">
        <v>324591</v>
      </c>
      <c r="AZ41" s="10"/>
      <c r="BA41" s="10"/>
      <c r="BB41" s="10"/>
      <c r="BC41" s="10">
        <v>-1001428</v>
      </c>
      <c r="BD41" s="10">
        <v>75212</v>
      </c>
      <c r="BE41" s="10">
        <v>63931</v>
      </c>
      <c r="BF41" s="36">
        <v>112531</v>
      </c>
      <c r="BG41" s="36">
        <v>64001</v>
      </c>
      <c r="BH41" s="10"/>
      <c r="BI41" s="10"/>
      <c r="BJ41" s="10">
        <v>62115</v>
      </c>
      <c r="BK41" s="10">
        <v>58708</v>
      </c>
      <c r="BL41" s="10">
        <v>4724923</v>
      </c>
      <c r="BM41" s="10">
        <v>4163346</v>
      </c>
      <c r="BN41" s="10"/>
      <c r="BO41" s="10">
        <v>67958</v>
      </c>
      <c r="BP41" s="82">
        <f t="shared" si="6"/>
        <v>15254737</v>
      </c>
      <c r="BQ41" s="82">
        <f t="shared" si="7"/>
        <v>18964691.761</v>
      </c>
    </row>
    <row r="42" spans="1:69" x14ac:dyDescent="0.25">
      <c r="A42" s="26" t="s">
        <v>294</v>
      </c>
      <c r="B42" s="10"/>
      <c r="C42" s="10"/>
      <c r="D42" s="10"/>
      <c r="E42" s="10"/>
      <c r="F42" s="10"/>
      <c r="G42" s="10"/>
      <c r="H42" s="10"/>
      <c r="I42" s="10"/>
      <c r="J42" s="10">
        <v>137082</v>
      </c>
      <c r="K42" s="10">
        <v>542420</v>
      </c>
      <c r="L42" s="10"/>
      <c r="M42" s="10"/>
      <c r="N42" s="10">
        <v>38379</v>
      </c>
      <c r="O42" s="10">
        <v>109207</v>
      </c>
      <c r="P42" s="10">
        <v>472</v>
      </c>
      <c r="Q42" s="10">
        <v>2004</v>
      </c>
      <c r="R42" s="10">
        <v>735</v>
      </c>
      <c r="S42" s="10">
        <v>536</v>
      </c>
      <c r="T42" s="10"/>
      <c r="U42" s="10"/>
      <c r="V42" s="10"/>
      <c r="W42" s="10"/>
      <c r="X42" s="10"/>
      <c r="Y42" s="10"/>
      <c r="Z42" s="10">
        <v>900290</v>
      </c>
      <c r="AA42" s="10">
        <v>2195645</v>
      </c>
      <c r="AB42" s="10">
        <v>419369</v>
      </c>
      <c r="AC42" s="10">
        <v>1753782</v>
      </c>
      <c r="AD42" s="10">
        <v>45394</v>
      </c>
      <c r="AE42" s="10">
        <v>283588</v>
      </c>
      <c r="AF42" s="10">
        <v>331</v>
      </c>
      <c r="AG42" s="10">
        <v>883</v>
      </c>
      <c r="AH42" s="10">
        <v>19541</v>
      </c>
      <c r="AI42" s="10">
        <v>-98102</v>
      </c>
      <c r="AJ42" s="10">
        <v>12559</v>
      </c>
      <c r="AK42" s="10">
        <v>2050</v>
      </c>
      <c r="AL42" s="10"/>
      <c r="AM42" s="10"/>
      <c r="AN42" s="10"/>
      <c r="AO42" s="10"/>
      <c r="AP42" s="10"/>
      <c r="AQ42" s="10"/>
      <c r="AR42" s="10">
        <v>1596526</v>
      </c>
      <c r="AS42" s="10">
        <v>4763877</v>
      </c>
      <c r="AT42" s="10">
        <v>-197210</v>
      </c>
      <c r="AU42" s="10">
        <v>1371396</v>
      </c>
      <c r="AV42" s="10">
        <v>-389</v>
      </c>
      <c r="AW42" s="10">
        <v>371</v>
      </c>
      <c r="AX42" s="10"/>
      <c r="AY42" s="10"/>
      <c r="AZ42" s="10"/>
      <c r="BA42" s="10"/>
      <c r="BB42" s="10">
        <v>-85825</v>
      </c>
      <c r="BC42" s="10">
        <v>140207</v>
      </c>
      <c r="BD42" s="10"/>
      <c r="BE42" s="10"/>
      <c r="BF42" s="10"/>
      <c r="BG42" s="10"/>
      <c r="BH42" s="10"/>
      <c r="BI42" s="10"/>
      <c r="BJ42" s="10">
        <v>122685</v>
      </c>
      <c r="BK42" s="10">
        <v>242681</v>
      </c>
      <c r="BL42" s="10">
        <v>964942</v>
      </c>
      <c r="BM42" s="10">
        <v>2860975</v>
      </c>
      <c r="BN42" s="10">
        <v>-51508</v>
      </c>
      <c r="BO42" s="10">
        <v>-9118</v>
      </c>
      <c r="BP42" s="82">
        <f t="shared" si="6"/>
        <v>3923373</v>
      </c>
      <c r="BQ42" s="82">
        <f t="shared" si="7"/>
        <v>14162402</v>
      </c>
    </row>
    <row r="43" spans="1:69" x14ac:dyDescent="0.25">
      <c r="A43" s="26" t="s">
        <v>288</v>
      </c>
      <c r="B43" s="10"/>
      <c r="C43" s="10"/>
      <c r="D43" s="10"/>
      <c r="E43" s="10"/>
      <c r="F43" s="10"/>
      <c r="G43" s="10"/>
      <c r="H43" s="10"/>
      <c r="I43" s="10"/>
      <c r="J43" s="103">
        <v>8282</v>
      </c>
      <c r="K43" s="10">
        <v>10099</v>
      </c>
      <c r="L43" s="10">
        <v>665</v>
      </c>
      <c r="M43" s="10">
        <v>706</v>
      </c>
      <c r="N43" s="10"/>
      <c r="O43" s="10">
        <v>-19</v>
      </c>
      <c r="P43" s="10"/>
      <c r="Q43" s="10"/>
      <c r="R43" s="10">
        <v>3</v>
      </c>
      <c r="S43" s="10">
        <v>30</v>
      </c>
      <c r="T43" s="10"/>
      <c r="U43" s="10"/>
      <c r="V43" s="10"/>
      <c r="W43" s="10">
        <v>2933</v>
      </c>
      <c r="X43" s="10">
        <v>488</v>
      </c>
      <c r="Y43" s="10">
        <v>522</v>
      </c>
      <c r="Z43" s="10"/>
      <c r="AA43" s="10"/>
      <c r="AB43" s="10">
        <v>4689</v>
      </c>
      <c r="AC43" s="10">
        <v>38866</v>
      </c>
      <c r="AD43" s="10">
        <v>82</v>
      </c>
      <c r="AE43" s="10">
        <v>211</v>
      </c>
      <c r="AF43" s="10">
        <v>3</v>
      </c>
      <c r="AG43" s="10">
        <v>30</v>
      </c>
      <c r="AH43" s="10">
        <v>7</v>
      </c>
      <c r="AI43" s="10">
        <v>63</v>
      </c>
      <c r="AJ43" s="10"/>
      <c r="AK43" s="10"/>
      <c r="AL43" s="10"/>
      <c r="AM43" s="10"/>
      <c r="AN43" s="10"/>
      <c r="AO43" s="10"/>
      <c r="AP43" s="10">
        <v>5730.1180000000022</v>
      </c>
      <c r="AQ43" s="10">
        <v>135071.951</v>
      </c>
      <c r="AR43" s="10"/>
      <c r="AS43" s="10"/>
      <c r="AT43" s="10">
        <v>-442</v>
      </c>
      <c r="AU43" s="10">
        <v>421297</v>
      </c>
      <c r="AV43" s="10">
        <v>0</v>
      </c>
      <c r="AW43" s="10">
        <v>3</v>
      </c>
      <c r="AX43" s="10">
        <v>26743</v>
      </c>
      <c r="AY43" s="10">
        <v>27008</v>
      </c>
      <c r="AZ43" s="10"/>
      <c r="BA43" s="10"/>
      <c r="BB43" s="10">
        <v>508</v>
      </c>
      <c r="BC43" s="10">
        <v>1766</v>
      </c>
      <c r="BD43" s="10">
        <v>5</v>
      </c>
      <c r="BE43" s="10">
        <v>47</v>
      </c>
      <c r="BF43" s="10">
        <v>7</v>
      </c>
      <c r="BG43" s="10">
        <v>60</v>
      </c>
      <c r="BH43" s="10"/>
      <c r="BI43" s="10"/>
      <c r="BJ43" s="10">
        <v>113</v>
      </c>
      <c r="BK43" s="10">
        <v>24789</v>
      </c>
      <c r="BL43" s="10">
        <v>6709</v>
      </c>
      <c r="BM43" s="10">
        <v>50351</v>
      </c>
      <c r="BN43" s="10">
        <v>3</v>
      </c>
      <c r="BO43" s="10">
        <v>30</v>
      </c>
      <c r="BP43" s="82">
        <f t="shared" si="6"/>
        <v>53595.118000000002</v>
      </c>
      <c r="BQ43" s="82">
        <f t="shared" si="7"/>
        <v>713863.951</v>
      </c>
    </row>
    <row r="44" spans="1:69" x14ac:dyDescent="0.25">
      <c r="A44" s="26" t="s">
        <v>289</v>
      </c>
      <c r="B44" s="10"/>
      <c r="C44" s="10"/>
      <c r="D44" s="10"/>
      <c r="E44" s="10"/>
      <c r="F44" s="10"/>
      <c r="G44" s="10"/>
      <c r="H44" s="10"/>
      <c r="I44" s="10"/>
      <c r="J44" s="10">
        <v>95641</v>
      </c>
      <c r="K44" s="10">
        <v>398038</v>
      </c>
      <c r="L44" s="10">
        <v>39331</v>
      </c>
      <c r="M44" s="10">
        <v>278777</v>
      </c>
      <c r="N44" s="10">
        <v>17355</v>
      </c>
      <c r="O44" s="10">
        <v>47976</v>
      </c>
      <c r="P44" s="10"/>
      <c r="Q44" s="10"/>
      <c r="R44" s="10">
        <v>76</v>
      </c>
      <c r="S44" s="10">
        <v>-2605</v>
      </c>
      <c r="T44" s="10"/>
      <c r="U44" s="10"/>
      <c r="V44" s="10">
        <v>21771</v>
      </c>
      <c r="W44" s="10">
        <v>109105</v>
      </c>
      <c r="X44" s="10">
        <v>433</v>
      </c>
      <c r="Y44" s="10">
        <v>434</v>
      </c>
      <c r="Z44" s="10"/>
      <c r="AA44" s="10"/>
      <c r="AB44" s="10"/>
      <c r="AC44" s="10"/>
      <c r="AD44" s="10">
        <v>56857</v>
      </c>
      <c r="AE44" s="10">
        <v>172983</v>
      </c>
      <c r="AF44" s="10"/>
      <c r="AG44" s="10"/>
      <c r="AH44" s="10">
        <v>12260</v>
      </c>
      <c r="AI44" s="10">
        <v>85426</v>
      </c>
      <c r="AJ44" s="10"/>
      <c r="AK44" s="10"/>
      <c r="AL44" s="10"/>
      <c r="AM44" s="10"/>
      <c r="AN44" s="10"/>
      <c r="AO44" s="10"/>
      <c r="AP44" s="10">
        <v>111354.73000000001</v>
      </c>
      <c r="AQ44" s="10">
        <v>238208.04</v>
      </c>
      <c r="AR44" s="10"/>
      <c r="AS44" s="10"/>
      <c r="AT44" s="10">
        <v>-85978</v>
      </c>
      <c r="AU44" s="10">
        <v>467615</v>
      </c>
      <c r="AV44" s="10">
        <v>116</v>
      </c>
      <c r="AW44" s="10">
        <v>327</v>
      </c>
      <c r="AX44" s="10">
        <v>107527</v>
      </c>
      <c r="AY44" s="10">
        <v>190108</v>
      </c>
      <c r="AZ44" s="10"/>
      <c r="BA44" s="10"/>
      <c r="BB44" s="10"/>
      <c r="BC44" s="10"/>
      <c r="BD44" s="10">
        <v>9476</v>
      </c>
      <c r="BE44" s="10">
        <v>111088</v>
      </c>
      <c r="BF44" s="36">
        <v>14729</v>
      </c>
      <c r="BG44" s="36">
        <v>33942</v>
      </c>
      <c r="BH44" s="10"/>
      <c r="BI44" s="10"/>
      <c r="BJ44" s="10">
        <v>86315</v>
      </c>
      <c r="BK44" s="10">
        <v>217553</v>
      </c>
      <c r="BL44" s="10">
        <v>759151</v>
      </c>
      <c r="BM44" s="10">
        <v>1170268</v>
      </c>
      <c r="BN44" s="10">
        <v>2524</v>
      </c>
      <c r="BO44" s="10">
        <v>9656</v>
      </c>
      <c r="BP44" s="82">
        <f t="shared" si="6"/>
        <v>1248938.73</v>
      </c>
      <c r="BQ44" s="82">
        <f t="shared" si="7"/>
        <v>3528899.04</v>
      </c>
    </row>
    <row r="45" spans="1:69" x14ac:dyDescent="0.25">
      <c r="A45" s="26" t="s">
        <v>285</v>
      </c>
      <c r="B45" s="10"/>
      <c r="C45" s="10"/>
      <c r="D45" s="10"/>
      <c r="E45" s="10"/>
      <c r="F45" s="10"/>
      <c r="G45" s="10"/>
      <c r="H45" s="10"/>
      <c r="I45" s="10"/>
      <c r="J45" s="10">
        <v>49723</v>
      </c>
      <c r="K45" s="10">
        <v>154481</v>
      </c>
      <c r="L45" s="10">
        <v>-2051</v>
      </c>
      <c r="M45" s="10">
        <v>49744</v>
      </c>
      <c r="N45" s="10">
        <v>21024</v>
      </c>
      <c r="O45" s="10">
        <v>61212</v>
      </c>
      <c r="P45" s="10">
        <v>23</v>
      </c>
      <c r="Q45" s="10">
        <v>112</v>
      </c>
      <c r="R45" s="10">
        <v>662</v>
      </c>
      <c r="S45" s="10">
        <v>3171</v>
      </c>
      <c r="T45" s="10"/>
      <c r="U45" s="10"/>
      <c r="V45" s="10">
        <v>28</v>
      </c>
      <c r="W45" s="10">
        <v>41750</v>
      </c>
      <c r="X45" s="10">
        <v>2232</v>
      </c>
      <c r="Y45" s="10">
        <v>5439</v>
      </c>
      <c r="Z45" s="10">
        <v>252676</v>
      </c>
      <c r="AA45" s="10">
        <v>710274</v>
      </c>
      <c r="AB45" s="10">
        <v>131303</v>
      </c>
      <c r="AC45" s="10">
        <v>413038</v>
      </c>
      <c r="AD45" s="10">
        <v>-11381</v>
      </c>
      <c r="AE45" s="10">
        <v>110816</v>
      </c>
      <c r="AF45" s="10">
        <v>334</v>
      </c>
      <c r="AG45" s="10">
        <v>913</v>
      </c>
      <c r="AH45" s="10">
        <v>13155</v>
      </c>
      <c r="AI45" s="10">
        <v>12648</v>
      </c>
      <c r="AJ45" s="10">
        <v>4751</v>
      </c>
      <c r="AK45" s="10">
        <v>14510</v>
      </c>
      <c r="AL45" s="10"/>
      <c r="AM45" s="10"/>
      <c r="AN45" s="10"/>
      <c r="AO45" s="10"/>
      <c r="AP45" s="10">
        <v>-26687.715999999666</v>
      </c>
      <c r="AQ45" s="10">
        <v>1164745.034</v>
      </c>
      <c r="AR45" s="10">
        <v>590407</v>
      </c>
      <c r="AS45" s="10">
        <v>3468739</v>
      </c>
      <c r="AT45" s="10">
        <v>-111674</v>
      </c>
      <c r="AU45" s="10">
        <v>1325078</v>
      </c>
      <c r="AV45" s="10">
        <v>-505</v>
      </c>
      <c r="AW45" s="10">
        <v>48</v>
      </c>
      <c r="AX45" s="10">
        <v>65973</v>
      </c>
      <c r="AY45" s="10">
        <v>241399</v>
      </c>
      <c r="AZ45" s="10"/>
      <c r="BA45" s="10"/>
      <c r="BB45" s="10">
        <v>-6208</v>
      </c>
      <c r="BC45" s="10">
        <v>22420</v>
      </c>
      <c r="BD45" s="10">
        <v>30503</v>
      </c>
      <c r="BE45" s="10">
        <v>64895</v>
      </c>
      <c r="BF45" s="36">
        <v>20013</v>
      </c>
      <c r="BG45" s="36">
        <v>110230</v>
      </c>
      <c r="BH45" s="10"/>
      <c r="BI45" s="10"/>
      <c r="BJ45" s="10">
        <v>36483</v>
      </c>
      <c r="BK45" s="10">
        <v>49917</v>
      </c>
      <c r="BL45" s="10">
        <v>212500</v>
      </c>
      <c r="BM45" s="10">
        <v>1741058</v>
      </c>
      <c r="BN45" s="10">
        <v>-54029</v>
      </c>
      <c r="BO45" s="10">
        <v>-18744</v>
      </c>
      <c r="BP45" s="82">
        <f t="shared" si="6"/>
        <v>1219254.2840000005</v>
      </c>
      <c r="BQ45" s="82">
        <f t="shared" si="7"/>
        <v>9747893.034</v>
      </c>
    </row>
    <row r="46" spans="1:69" x14ac:dyDescent="0.25">
      <c r="A46" s="18"/>
    </row>
    <row r="47" spans="1:69" x14ac:dyDescent="0.25">
      <c r="A47" s="33" t="s">
        <v>232</v>
      </c>
    </row>
    <row r="48" spans="1:69" x14ac:dyDescent="0.25">
      <c r="A48" s="3" t="s">
        <v>0</v>
      </c>
      <c r="B48" s="111" t="s">
        <v>1</v>
      </c>
      <c r="C48" s="112"/>
      <c r="D48" s="111" t="s">
        <v>2</v>
      </c>
      <c r="E48" s="112"/>
      <c r="F48" s="111" t="s">
        <v>3</v>
      </c>
      <c r="G48" s="112"/>
      <c r="H48" s="111" t="s">
        <v>295</v>
      </c>
      <c r="I48" s="112"/>
      <c r="J48" s="111" t="s">
        <v>5</v>
      </c>
      <c r="K48" s="112"/>
      <c r="L48" s="111" t="s">
        <v>6</v>
      </c>
      <c r="M48" s="112"/>
      <c r="N48" s="111" t="s">
        <v>7</v>
      </c>
      <c r="O48" s="112"/>
      <c r="P48" s="111" t="s">
        <v>309</v>
      </c>
      <c r="Q48" s="112"/>
      <c r="R48" s="111" t="s">
        <v>9</v>
      </c>
      <c r="S48" s="112"/>
      <c r="T48" s="111" t="s">
        <v>10</v>
      </c>
      <c r="U48" s="112"/>
      <c r="V48" s="111" t="s">
        <v>11</v>
      </c>
      <c r="W48" s="112"/>
      <c r="X48" s="111" t="s">
        <v>12</v>
      </c>
      <c r="Y48" s="112"/>
      <c r="Z48" s="111" t="s">
        <v>13</v>
      </c>
      <c r="AA48" s="112"/>
      <c r="AB48" s="111" t="s">
        <v>14</v>
      </c>
      <c r="AC48" s="112"/>
      <c r="AD48" s="111" t="s">
        <v>15</v>
      </c>
      <c r="AE48" s="112"/>
      <c r="AF48" s="111" t="s">
        <v>16</v>
      </c>
      <c r="AG48" s="112"/>
      <c r="AH48" s="111" t="s">
        <v>17</v>
      </c>
      <c r="AI48" s="112"/>
      <c r="AJ48" s="111" t="s">
        <v>18</v>
      </c>
      <c r="AK48" s="112"/>
      <c r="AL48" s="111" t="s">
        <v>293</v>
      </c>
      <c r="AM48" s="112"/>
      <c r="AN48" s="111" t="s">
        <v>19</v>
      </c>
      <c r="AO48" s="112"/>
      <c r="AP48" s="111" t="s">
        <v>20</v>
      </c>
      <c r="AQ48" s="112"/>
      <c r="AR48" s="111" t="s">
        <v>21</v>
      </c>
      <c r="AS48" s="112"/>
      <c r="AT48" s="111" t="s">
        <v>22</v>
      </c>
      <c r="AU48" s="112"/>
      <c r="AV48" s="111" t="s">
        <v>23</v>
      </c>
      <c r="AW48" s="112"/>
      <c r="AX48" s="111" t="s">
        <v>24</v>
      </c>
      <c r="AY48" s="112"/>
      <c r="AZ48" s="111" t="s">
        <v>25</v>
      </c>
      <c r="BA48" s="112"/>
      <c r="BB48" s="111" t="s">
        <v>26</v>
      </c>
      <c r="BC48" s="112"/>
      <c r="BD48" s="111" t="s">
        <v>27</v>
      </c>
      <c r="BE48" s="112"/>
      <c r="BF48" s="111" t="s">
        <v>28</v>
      </c>
      <c r="BG48" s="112"/>
      <c r="BH48" s="111" t="s">
        <v>29</v>
      </c>
      <c r="BI48" s="112"/>
      <c r="BJ48" s="111" t="s">
        <v>30</v>
      </c>
      <c r="BK48" s="112"/>
      <c r="BL48" s="115" t="s">
        <v>31</v>
      </c>
      <c r="BM48" s="116"/>
      <c r="BN48" s="111" t="s">
        <v>32</v>
      </c>
      <c r="BO48" s="112"/>
      <c r="BP48" s="113" t="s">
        <v>33</v>
      </c>
      <c r="BQ48" s="114"/>
    </row>
    <row r="49" spans="1:69" ht="30" x14ac:dyDescent="0.25">
      <c r="A49" s="3"/>
      <c r="B49" s="66" t="s">
        <v>298</v>
      </c>
      <c r="C49" s="67" t="s">
        <v>299</v>
      </c>
      <c r="D49" s="66" t="s">
        <v>298</v>
      </c>
      <c r="E49" s="67" t="s">
        <v>299</v>
      </c>
      <c r="F49" s="66" t="s">
        <v>298</v>
      </c>
      <c r="G49" s="67" t="s">
        <v>299</v>
      </c>
      <c r="H49" s="66" t="s">
        <v>298</v>
      </c>
      <c r="I49" s="67" t="s">
        <v>299</v>
      </c>
      <c r="J49" s="66" t="s">
        <v>298</v>
      </c>
      <c r="K49" s="67" t="s">
        <v>299</v>
      </c>
      <c r="L49" s="66" t="s">
        <v>298</v>
      </c>
      <c r="M49" s="67" t="s">
        <v>299</v>
      </c>
      <c r="N49" s="66" t="s">
        <v>298</v>
      </c>
      <c r="O49" s="67" t="s">
        <v>299</v>
      </c>
      <c r="P49" s="66" t="s">
        <v>298</v>
      </c>
      <c r="Q49" s="67" t="s">
        <v>299</v>
      </c>
      <c r="R49" s="66" t="s">
        <v>298</v>
      </c>
      <c r="S49" s="67" t="s">
        <v>299</v>
      </c>
      <c r="T49" s="66" t="s">
        <v>298</v>
      </c>
      <c r="U49" s="67" t="s">
        <v>299</v>
      </c>
      <c r="V49" s="66" t="s">
        <v>298</v>
      </c>
      <c r="W49" s="67" t="s">
        <v>299</v>
      </c>
      <c r="X49" s="66" t="s">
        <v>298</v>
      </c>
      <c r="Y49" s="67" t="s">
        <v>299</v>
      </c>
      <c r="Z49" s="66" t="s">
        <v>298</v>
      </c>
      <c r="AA49" s="67" t="s">
        <v>299</v>
      </c>
      <c r="AB49" s="66" t="s">
        <v>298</v>
      </c>
      <c r="AC49" s="67" t="s">
        <v>299</v>
      </c>
      <c r="AD49" s="66" t="s">
        <v>298</v>
      </c>
      <c r="AE49" s="67" t="s">
        <v>299</v>
      </c>
      <c r="AF49" s="66" t="s">
        <v>298</v>
      </c>
      <c r="AG49" s="67" t="s">
        <v>299</v>
      </c>
      <c r="AH49" s="66" t="s">
        <v>298</v>
      </c>
      <c r="AI49" s="67" t="s">
        <v>299</v>
      </c>
      <c r="AJ49" s="66" t="s">
        <v>298</v>
      </c>
      <c r="AK49" s="67" t="s">
        <v>299</v>
      </c>
      <c r="AL49" s="66" t="s">
        <v>298</v>
      </c>
      <c r="AM49" s="67" t="s">
        <v>299</v>
      </c>
      <c r="AN49" s="66" t="s">
        <v>298</v>
      </c>
      <c r="AO49" s="67" t="s">
        <v>299</v>
      </c>
      <c r="AP49" s="66" t="s">
        <v>298</v>
      </c>
      <c r="AQ49" s="67" t="s">
        <v>299</v>
      </c>
      <c r="AR49" s="66" t="s">
        <v>298</v>
      </c>
      <c r="AS49" s="67" t="s">
        <v>299</v>
      </c>
      <c r="AT49" s="66" t="s">
        <v>298</v>
      </c>
      <c r="AU49" s="67" t="s">
        <v>299</v>
      </c>
      <c r="AV49" s="66" t="s">
        <v>298</v>
      </c>
      <c r="AW49" s="67" t="s">
        <v>299</v>
      </c>
      <c r="AX49" s="66" t="s">
        <v>298</v>
      </c>
      <c r="AY49" s="67" t="s">
        <v>299</v>
      </c>
      <c r="AZ49" s="66" t="s">
        <v>298</v>
      </c>
      <c r="BA49" s="67" t="s">
        <v>299</v>
      </c>
      <c r="BB49" s="66" t="s">
        <v>298</v>
      </c>
      <c r="BC49" s="67" t="s">
        <v>299</v>
      </c>
      <c r="BD49" s="66" t="s">
        <v>298</v>
      </c>
      <c r="BE49" s="67" t="s">
        <v>299</v>
      </c>
      <c r="BF49" s="66" t="s">
        <v>298</v>
      </c>
      <c r="BG49" s="67" t="s">
        <v>299</v>
      </c>
      <c r="BH49" s="66" t="s">
        <v>298</v>
      </c>
      <c r="BI49" s="67" t="s">
        <v>299</v>
      </c>
      <c r="BJ49" s="66" t="s">
        <v>298</v>
      </c>
      <c r="BK49" s="67" t="s">
        <v>299</v>
      </c>
      <c r="BL49" s="66" t="s">
        <v>298</v>
      </c>
      <c r="BM49" s="67" t="s">
        <v>299</v>
      </c>
      <c r="BN49" s="66" t="s">
        <v>298</v>
      </c>
      <c r="BO49" s="67" t="s">
        <v>299</v>
      </c>
      <c r="BP49" s="66" t="s">
        <v>298</v>
      </c>
      <c r="BQ49" s="67" t="s">
        <v>299</v>
      </c>
    </row>
    <row r="50" spans="1:69" x14ac:dyDescent="0.25">
      <c r="A50" s="26" t="s">
        <v>240</v>
      </c>
      <c r="B50" s="10">
        <v>51090</v>
      </c>
      <c r="C50" s="10">
        <v>168191</v>
      </c>
      <c r="D50" s="7">
        <v>747832</v>
      </c>
      <c r="E50" s="10">
        <v>2863394</v>
      </c>
      <c r="F50" s="10"/>
      <c r="G50" s="10"/>
      <c r="H50" s="10">
        <v>4266272</v>
      </c>
      <c r="I50" s="10">
        <v>15350458</v>
      </c>
      <c r="J50" s="10">
        <v>4559163</v>
      </c>
      <c r="K50" s="10">
        <v>19455016</v>
      </c>
      <c r="L50" s="10">
        <v>537906</v>
      </c>
      <c r="M50" s="10">
        <v>2164623</v>
      </c>
      <c r="N50" s="10">
        <v>458527</v>
      </c>
      <c r="O50" s="10">
        <v>1508618</v>
      </c>
      <c r="P50" s="10">
        <v>45541</v>
      </c>
      <c r="Q50" s="10">
        <v>226459</v>
      </c>
      <c r="R50" s="10">
        <v>145564</v>
      </c>
      <c r="S50" s="10">
        <v>502357</v>
      </c>
      <c r="T50" s="10"/>
      <c r="U50" s="10"/>
      <c r="V50" s="10">
        <v>613800</v>
      </c>
      <c r="W50" s="10">
        <v>2495784</v>
      </c>
      <c r="X50" s="10">
        <v>27623</v>
      </c>
      <c r="Y50" s="10">
        <v>71886</v>
      </c>
      <c r="Z50" s="10">
        <v>1952069</v>
      </c>
      <c r="AA50" s="10">
        <v>7699794</v>
      </c>
      <c r="AB50" s="10">
        <v>4436757</v>
      </c>
      <c r="AC50" s="10">
        <v>15941188</v>
      </c>
      <c r="AD50" s="10">
        <v>4138075</v>
      </c>
      <c r="AE50" s="10">
        <v>11558215</v>
      </c>
      <c r="AF50" s="10">
        <v>97519</v>
      </c>
      <c r="AG50" s="10">
        <v>299273</v>
      </c>
      <c r="AH50" s="10">
        <v>610641</v>
      </c>
      <c r="AI50" s="10">
        <v>1991669</v>
      </c>
      <c r="AJ50" s="10">
        <v>45980</v>
      </c>
      <c r="AK50" s="10">
        <v>407263</v>
      </c>
      <c r="AL50" s="10">
        <v>829330</v>
      </c>
      <c r="AM50" s="10">
        <v>3095640</v>
      </c>
      <c r="AN50" s="10">
        <v>1399356</v>
      </c>
      <c r="AO50" s="10">
        <v>4965669</v>
      </c>
      <c r="AP50" s="10">
        <v>15910963.137999997</v>
      </c>
      <c r="AQ50" s="10">
        <v>57152104.588</v>
      </c>
      <c r="AR50" s="10">
        <v>23584097</v>
      </c>
      <c r="AS50" s="10">
        <v>89301078</v>
      </c>
      <c r="AT50" s="10">
        <v>12873326</v>
      </c>
      <c r="AU50" s="10">
        <v>43302265</v>
      </c>
      <c r="AV50" s="10"/>
      <c r="AW50" s="10">
        <v>553</v>
      </c>
      <c r="AX50" s="10">
        <v>3886319</v>
      </c>
      <c r="AY50" s="10">
        <v>11742911</v>
      </c>
      <c r="AZ50" s="10">
        <v>2632166</v>
      </c>
      <c r="BA50" s="10">
        <v>12374284</v>
      </c>
      <c r="BB50" s="10">
        <v>743703</v>
      </c>
      <c r="BC50" s="10">
        <v>2383109</v>
      </c>
      <c r="BD50" s="10">
        <v>1153370</v>
      </c>
      <c r="BE50" s="10">
        <v>3440569</v>
      </c>
      <c r="BF50" s="36">
        <v>603</v>
      </c>
      <c r="BG50" s="36">
        <v>2392</v>
      </c>
      <c r="BH50" s="10"/>
      <c r="BI50" s="10"/>
      <c r="BJ50" s="10">
        <v>1209630</v>
      </c>
      <c r="BK50" s="10">
        <v>4637300</v>
      </c>
      <c r="BL50" s="10">
        <v>16163841</v>
      </c>
      <c r="BM50" s="10">
        <v>54203788</v>
      </c>
      <c r="BN50" s="10">
        <v>337251</v>
      </c>
      <c r="BO50" s="10">
        <v>1239838</v>
      </c>
      <c r="BP50" s="82">
        <f t="shared" ref="BP50:BP56" si="8">B50+D50+F50+H50+J50+L50+N50+P50+R50+T50+V50+X50+Z50+AB50+AD50+AF50+AH50+AJ50+AL50+AN50+AP50+AR50+AT50+AV50+AX50+AZ50+BB50+BD50+BF50+BH50+BJ50+BL50+BN50</f>
        <v>103458314.138</v>
      </c>
      <c r="BQ50" s="82">
        <f t="shared" ref="BQ50:BQ56" si="9">C50+E50+G50+I50+K50+M50+O50+Q50+S50+U50+W50+Y50+AA50+AC50+AE50+AG50+AI50+AK50+AM50+AO50+AQ50+AS50+AU50+AW50+AY50+BA50+BC50+BE50+BG50+BI50+BK50+BM50+BO50</f>
        <v>370545688.588</v>
      </c>
    </row>
    <row r="51" spans="1:69" x14ac:dyDescent="0.25">
      <c r="A51" s="10" t="s">
        <v>291</v>
      </c>
      <c r="B51" s="10">
        <v>40600</v>
      </c>
      <c r="C51" s="10">
        <v>40600</v>
      </c>
      <c r="D51" s="10">
        <v>611574</v>
      </c>
      <c r="E51" s="10">
        <v>611574</v>
      </c>
      <c r="F51" s="10"/>
      <c r="G51" s="10"/>
      <c r="H51" s="10">
        <v>2580886</v>
      </c>
      <c r="I51" s="10">
        <v>2580886</v>
      </c>
      <c r="J51" s="10">
        <v>-577490</v>
      </c>
      <c r="K51" s="10">
        <v>2567306</v>
      </c>
      <c r="L51" s="10">
        <v>116998</v>
      </c>
      <c r="M51" s="10">
        <v>799396</v>
      </c>
      <c r="N51" s="10">
        <v>329385</v>
      </c>
      <c r="O51" s="10">
        <v>329385</v>
      </c>
      <c r="P51" s="10">
        <v>111758</v>
      </c>
      <c r="Q51" s="10">
        <v>111758</v>
      </c>
      <c r="R51" s="10">
        <v>68059</v>
      </c>
      <c r="S51" s="10">
        <v>68059</v>
      </c>
      <c r="T51" s="10"/>
      <c r="U51" s="10"/>
      <c r="V51" s="10">
        <v>360641</v>
      </c>
      <c r="W51" s="10">
        <v>360641</v>
      </c>
      <c r="X51" s="10">
        <v>26959</v>
      </c>
      <c r="Y51" s="10">
        <v>47630</v>
      </c>
      <c r="Z51" s="10">
        <v>2142698</v>
      </c>
      <c r="AA51" s="10">
        <v>2142698</v>
      </c>
      <c r="AB51" s="10">
        <v>6697688</v>
      </c>
      <c r="AC51" s="10">
        <v>6697688</v>
      </c>
      <c r="AD51" s="10">
        <v>-327235</v>
      </c>
      <c r="AE51" s="10">
        <v>1494294</v>
      </c>
      <c r="AF51" s="10">
        <v>97081</v>
      </c>
      <c r="AG51" s="10">
        <v>97081</v>
      </c>
      <c r="AH51" s="10">
        <v>419436</v>
      </c>
      <c r="AI51" s="10">
        <v>419436</v>
      </c>
      <c r="AJ51" s="10">
        <v>93693</v>
      </c>
      <c r="AK51" s="10">
        <v>93693</v>
      </c>
      <c r="AL51" s="10">
        <v>610988</v>
      </c>
      <c r="AM51" s="10">
        <v>610988</v>
      </c>
      <c r="AN51" s="10">
        <v>1165551</v>
      </c>
      <c r="AO51" s="10">
        <v>1165551</v>
      </c>
      <c r="AP51" s="10">
        <v>1394571.75</v>
      </c>
      <c r="AQ51" s="10">
        <v>7184477.1069999998</v>
      </c>
      <c r="AR51" s="10">
        <v>12506115</v>
      </c>
      <c r="AS51" s="10">
        <v>12506115</v>
      </c>
      <c r="AT51" s="10">
        <v>-610722</v>
      </c>
      <c r="AU51" s="10">
        <v>8335434</v>
      </c>
      <c r="AV51" s="10">
        <v>783</v>
      </c>
      <c r="AW51" s="10">
        <v>2252</v>
      </c>
      <c r="AX51" s="10">
        <v>3996089</v>
      </c>
      <c r="AY51" s="10">
        <v>3996089</v>
      </c>
      <c r="AZ51" s="10">
        <v>2271801</v>
      </c>
      <c r="BA51" s="10">
        <v>2271801</v>
      </c>
      <c r="BB51" s="10">
        <v>-105466</v>
      </c>
      <c r="BC51" s="10">
        <v>707955</v>
      </c>
      <c r="BD51" s="10">
        <v>2175057</v>
      </c>
      <c r="BE51" s="10">
        <v>2175057</v>
      </c>
      <c r="BF51" s="36">
        <v>6893</v>
      </c>
      <c r="BG51" s="36">
        <v>6893</v>
      </c>
      <c r="BH51" s="10"/>
      <c r="BI51" s="10"/>
      <c r="BJ51" s="10">
        <v>1787525</v>
      </c>
      <c r="BK51" s="10">
        <v>1787525</v>
      </c>
      <c r="BL51" s="10">
        <v>9556554</v>
      </c>
      <c r="BM51" s="10">
        <v>9556554</v>
      </c>
      <c r="BN51" s="10">
        <v>-6184</v>
      </c>
      <c r="BO51" s="10">
        <v>183704</v>
      </c>
      <c r="BP51" s="82">
        <f t="shared" si="8"/>
        <v>47542286.75</v>
      </c>
      <c r="BQ51" s="82">
        <f t="shared" si="9"/>
        <v>68952520.106999993</v>
      </c>
    </row>
    <row r="52" spans="1:69" x14ac:dyDescent="0.25">
      <c r="A52" s="10" t="s">
        <v>290</v>
      </c>
      <c r="B52" s="10">
        <v>94957</v>
      </c>
      <c r="C52" s="10">
        <v>46961</v>
      </c>
      <c r="D52" s="10">
        <v>577674</v>
      </c>
      <c r="E52" s="10">
        <v>410968</v>
      </c>
      <c r="F52" s="10"/>
      <c r="G52" s="10"/>
      <c r="H52" s="10">
        <v>2612033</v>
      </c>
      <c r="I52" s="10">
        <v>1913094</v>
      </c>
      <c r="J52" s="10"/>
      <c r="K52" s="10">
        <v>3105747</v>
      </c>
      <c r="L52" s="10"/>
      <c r="M52" s="10">
        <v>528073</v>
      </c>
      <c r="N52" s="10">
        <v>326215</v>
      </c>
      <c r="O52" s="10">
        <v>254270</v>
      </c>
      <c r="P52" s="10">
        <v>-127236</v>
      </c>
      <c r="Q52" s="10">
        <v>-250484</v>
      </c>
      <c r="R52" s="10">
        <v>50462</v>
      </c>
      <c r="S52" s="10">
        <v>212426</v>
      </c>
      <c r="T52" s="10"/>
      <c r="U52" s="10"/>
      <c r="V52" s="10">
        <v>328660</v>
      </c>
      <c r="W52" s="10">
        <v>304202</v>
      </c>
      <c r="X52" s="10">
        <v>-1</v>
      </c>
      <c r="Y52" s="10">
        <v>2593</v>
      </c>
      <c r="Z52" s="10">
        <v>-2051422</v>
      </c>
      <c r="AA52" s="10">
        <v>-1567972</v>
      </c>
      <c r="AB52" s="10">
        <v>6870902</v>
      </c>
      <c r="AC52" s="10">
        <v>5996496</v>
      </c>
      <c r="AD52" s="10"/>
      <c r="AE52" s="10">
        <v>1284820</v>
      </c>
      <c r="AF52" s="10">
        <v>93384</v>
      </c>
      <c r="AG52" s="10">
        <v>45375</v>
      </c>
      <c r="AH52" s="10">
        <v>434221</v>
      </c>
      <c r="AI52" s="10">
        <v>240494</v>
      </c>
      <c r="AJ52" s="10">
        <v>-83155</v>
      </c>
      <c r="AK52" s="10">
        <v>-302685</v>
      </c>
      <c r="AL52" s="10">
        <v>577002</v>
      </c>
      <c r="AM52" s="10">
        <v>443678</v>
      </c>
      <c r="AN52" s="10">
        <v>1274326</v>
      </c>
      <c r="AO52" s="10">
        <v>1034357</v>
      </c>
      <c r="AP52" s="10">
        <v>0</v>
      </c>
      <c r="AQ52" s="10">
        <v>6338330.2010000004</v>
      </c>
      <c r="AR52" s="10">
        <v>14131996</v>
      </c>
      <c r="AS52" s="10">
        <v>11069221</v>
      </c>
      <c r="AT52" s="10">
        <v>0</v>
      </c>
      <c r="AU52" s="10">
        <v>6986292</v>
      </c>
      <c r="AV52" s="10"/>
      <c r="AW52" s="10">
        <v>1139</v>
      </c>
      <c r="AX52" s="10">
        <v>4180249</v>
      </c>
      <c r="AY52" s="10">
        <v>2715256</v>
      </c>
      <c r="AZ52" s="10">
        <v>2077708</v>
      </c>
      <c r="BA52" s="10">
        <v>1417373</v>
      </c>
      <c r="BB52" s="10"/>
      <c r="BC52" s="10">
        <v>-560703</v>
      </c>
      <c r="BD52" s="10">
        <v>2176607</v>
      </c>
      <c r="BE52" s="10">
        <v>1650690</v>
      </c>
      <c r="BF52" s="36">
        <v>6144</v>
      </c>
      <c r="BG52" s="36">
        <v>3459</v>
      </c>
      <c r="BH52" s="10"/>
      <c r="BI52" s="10"/>
      <c r="BJ52" s="10">
        <v>1798706</v>
      </c>
      <c r="BK52" s="10">
        <v>1414686</v>
      </c>
      <c r="BL52" s="10">
        <v>11639319</v>
      </c>
      <c r="BM52" s="10">
        <v>9156590</v>
      </c>
      <c r="BN52" s="10"/>
      <c r="BO52" s="10">
        <v>136194</v>
      </c>
      <c r="BP52" s="82">
        <f t="shared" si="8"/>
        <v>46988751</v>
      </c>
      <c r="BQ52" s="82">
        <f t="shared" si="9"/>
        <v>54030940.201000005</v>
      </c>
    </row>
    <row r="53" spans="1:69" x14ac:dyDescent="0.25">
      <c r="A53" s="26" t="s">
        <v>294</v>
      </c>
      <c r="B53" s="10"/>
      <c r="C53" s="10"/>
      <c r="D53" s="10"/>
      <c r="E53" s="10"/>
      <c r="F53" s="10"/>
      <c r="G53" s="10"/>
      <c r="H53" s="10">
        <v>4235125</v>
      </c>
      <c r="I53" s="10">
        <v>16018250</v>
      </c>
      <c r="J53" s="10">
        <v>3981673</v>
      </c>
      <c r="K53" s="10">
        <v>18916575</v>
      </c>
      <c r="L53" s="10"/>
      <c r="M53" s="10"/>
      <c r="N53" s="10">
        <v>461697</v>
      </c>
      <c r="O53" s="10">
        <v>1583733</v>
      </c>
      <c r="P53" s="10">
        <v>30064</v>
      </c>
      <c r="Q53" s="10">
        <v>87733</v>
      </c>
      <c r="R53" s="10">
        <v>163161</v>
      </c>
      <c r="S53" s="10">
        <v>357990</v>
      </c>
      <c r="T53" s="10"/>
      <c r="U53" s="10"/>
      <c r="V53" s="10"/>
      <c r="W53" s="10"/>
      <c r="X53" s="10"/>
      <c r="Y53" s="10"/>
      <c r="Z53" s="10">
        <v>2043345</v>
      </c>
      <c r="AA53" s="10">
        <v>8274520</v>
      </c>
      <c r="AB53" s="10">
        <v>4263543</v>
      </c>
      <c r="AC53" s="10">
        <v>16642380</v>
      </c>
      <c r="AD53" s="10">
        <v>3810840</v>
      </c>
      <c r="AE53" s="10">
        <v>11767689</v>
      </c>
      <c r="AF53" s="10">
        <v>101216</v>
      </c>
      <c r="AG53" s="10">
        <v>350979</v>
      </c>
      <c r="AH53" s="10">
        <v>595856</v>
      </c>
      <c r="AI53" s="10">
        <v>2170611</v>
      </c>
      <c r="AJ53" s="10">
        <v>56518</v>
      </c>
      <c r="AK53" s="10">
        <v>198271</v>
      </c>
      <c r="AL53" s="10">
        <v>863316</v>
      </c>
      <c r="AM53" s="10">
        <v>3262950</v>
      </c>
      <c r="AN53" s="10">
        <v>1290580</v>
      </c>
      <c r="AO53" s="10">
        <v>5096863</v>
      </c>
      <c r="AP53" s="10"/>
      <c r="AQ53" s="10"/>
      <c r="AR53" s="10">
        <v>21958217</v>
      </c>
      <c r="AS53" s="10">
        <v>90737973</v>
      </c>
      <c r="AT53" s="10">
        <v>12262604</v>
      </c>
      <c r="AU53" s="10">
        <v>44651407</v>
      </c>
      <c r="AV53" s="10">
        <v>783</v>
      </c>
      <c r="AW53" s="10">
        <v>1667</v>
      </c>
      <c r="AX53" s="10"/>
      <c r="AY53" s="10"/>
      <c r="AZ53" s="10">
        <v>2826259</v>
      </c>
      <c r="BA53" s="10">
        <v>13228712</v>
      </c>
      <c r="BB53" s="10">
        <v>638237</v>
      </c>
      <c r="BC53" s="10">
        <v>2530362</v>
      </c>
      <c r="BD53" s="10"/>
      <c r="BE53" s="10"/>
      <c r="BF53" s="10"/>
      <c r="BG53" s="10"/>
      <c r="BH53" s="10"/>
      <c r="BI53" s="10"/>
      <c r="BJ53" s="10">
        <v>1198449</v>
      </c>
      <c r="BK53" s="10">
        <v>5010139</v>
      </c>
      <c r="BL53" s="10">
        <v>14081076</v>
      </c>
      <c r="BM53" s="10">
        <v>54603752</v>
      </c>
      <c r="BN53" s="10">
        <v>331067</v>
      </c>
      <c r="BO53" s="10">
        <v>1287348</v>
      </c>
      <c r="BP53" s="82">
        <f t="shared" si="8"/>
        <v>75193626</v>
      </c>
      <c r="BQ53" s="82">
        <f t="shared" si="9"/>
        <v>296779904</v>
      </c>
    </row>
    <row r="54" spans="1:69" x14ac:dyDescent="0.25">
      <c r="A54" s="26" t="s">
        <v>288</v>
      </c>
      <c r="B54" s="10"/>
      <c r="C54" s="10"/>
      <c r="D54" s="10"/>
      <c r="E54" s="10"/>
      <c r="F54" s="10"/>
      <c r="G54" s="10"/>
      <c r="H54" s="10"/>
      <c r="I54" s="10"/>
      <c r="J54" s="10"/>
      <c r="K54" s="10">
        <v>2508</v>
      </c>
      <c r="L54" s="10"/>
      <c r="M54" s="10"/>
      <c r="N54" s="10"/>
      <c r="O54" s="10"/>
      <c r="P54" s="10"/>
      <c r="Q54" s="10"/>
      <c r="R54" s="10"/>
      <c r="S54" s="10">
        <v>41587</v>
      </c>
      <c r="T54" s="10"/>
      <c r="U54" s="10"/>
      <c r="V54" s="10"/>
      <c r="W54" s="10"/>
      <c r="X54" s="10"/>
      <c r="Y54" s="10"/>
      <c r="Z54" s="10"/>
      <c r="AA54" s="10"/>
      <c r="AB54" s="10">
        <v>201455</v>
      </c>
      <c r="AC54" s="10">
        <v>1064374</v>
      </c>
      <c r="AD54" s="10"/>
      <c r="AE54" s="10">
        <v>1549</v>
      </c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>
        <v>71334</v>
      </c>
      <c r="AU54" s="10">
        <v>225162</v>
      </c>
      <c r="AV54" s="10"/>
      <c r="AW54" s="10"/>
      <c r="AX54" s="10"/>
      <c r="AY54" s="10">
        <v>3655</v>
      </c>
      <c r="AZ54" s="10">
        <v>38949</v>
      </c>
      <c r="BA54" s="10">
        <v>195925</v>
      </c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>
        <v>0</v>
      </c>
      <c r="BM54" s="10">
        <v>0</v>
      </c>
      <c r="BN54" s="10"/>
      <c r="BO54" s="10"/>
      <c r="BP54" s="82">
        <f t="shared" si="8"/>
        <v>311738</v>
      </c>
      <c r="BQ54" s="82">
        <f t="shared" si="9"/>
        <v>1534760</v>
      </c>
    </row>
    <row r="55" spans="1:69" x14ac:dyDescent="0.25">
      <c r="A55" s="26" t="s">
        <v>289</v>
      </c>
      <c r="B55" s="10">
        <v>2562</v>
      </c>
      <c r="C55" s="10">
        <v>9049</v>
      </c>
      <c r="D55" s="10">
        <v>144858</v>
      </c>
      <c r="E55" s="10">
        <v>389675</v>
      </c>
      <c r="F55" s="10"/>
      <c r="G55" s="10"/>
      <c r="H55" s="10">
        <v>655437</v>
      </c>
      <c r="I55" s="10">
        <v>2253123</v>
      </c>
      <c r="J55" s="10">
        <v>867767</v>
      </c>
      <c r="K55" s="10">
        <v>4074197</v>
      </c>
      <c r="L55" s="10">
        <v>30362</v>
      </c>
      <c r="M55" s="10">
        <v>122318</v>
      </c>
      <c r="N55" s="10">
        <v>90868</v>
      </c>
      <c r="O55" s="10">
        <v>215678</v>
      </c>
      <c r="P55" s="10"/>
      <c r="Q55" s="10"/>
      <c r="R55" s="10">
        <v>17748</v>
      </c>
      <c r="S55" s="10">
        <v>-147462</v>
      </c>
      <c r="T55" s="10"/>
      <c r="U55" s="10"/>
      <c r="V55" s="10">
        <v>176075</v>
      </c>
      <c r="W55" s="10">
        <v>711507</v>
      </c>
      <c r="X55" s="10">
        <v>1381</v>
      </c>
      <c r="Y55" s="10">
        <v>3594</v>
      </c>
      <c r="Z55" s="10"/>
      <c r="AA55" s="10"/>
      <c r="AB55" s="10"/>
      <c r="AC55" s="10"/>
      <c r="AD55" s="10">
        <v>1173503</v>
      </c>
      <c r="AE55" s="10">
        <v>2010302</v>
      </c>
      <c r="AF55" s="10">
        <v>5429</v>
      </c>
      <c r="AG55" s="10">
        <v>15519</v>
      </c>
      <c r="AH55" s="10">
        <v>37683</v>
      </c>
      <c r="AI55" s="10">
        <v>110948</v>
      </c>
      <c r="AJ55" s="10"/>
      <c r="AK55" s="10"/>
      <c r="AL55" s="10">
        <v>64548</v>
      </c>
      <c r="AM55" s="10">
        <v>174476</v>
      </c>
      <c r="AN55" s="10">
        <v>203440</v>
      </c>
      <c r="AO55" s="10">
        <v>632775</v>
      </c>
      <c r="AP55" s="10">
        <v>8458419.2239999995</v>
      </c>
      <c r="AQ55" s="10">
        <v>26244641.088</v>
      </c>
      <c r="AR55" s="10"/>
      <c r="AS55" s="10"/>
      <c r="AT55" s="10">
        <v>326475</v>
      </c>
      <c r="AU55" s="10">
        <v>2110335</v>
      </c>
      <c r="AV55" s="10"/>
      <c r="AW55" s="10">
        <v>28</v>
      </c>
      <c r="AX55" s="10">
        <v>784608</v>
      </c>
      <c r="AY55" s="10">
        <v>2099583</v>
      </c>
      <c r="AZ55" s="10">
        <v>739974</v>
      </c>
      <c r="BA55" s="10">
        <v>4854835</v>
      </c>
      <c r="BB55" s="10"/>
      <c r="BC55" s="10"/>
      <c r="BD55" s="10">
        <v>57668</v>
      </c>
      <c r="BE55" s="10">
        <v>172028</v>
      </c>
      <c r="BF55" s="36">
        <v>483</v>
      </c>
      <c r="BG55" s="36">
        <v>1877</v>
      </c>
      <c r="BH55" s="10"/>
      <c r="BI55" s="10"/>
      <c r="BJ55" s="10">
        <v>128159</v>
      </c>
      <c r="BK55" s="10">
        <v>410465</v>
      </c>
      <c r="BL55" s="10">
        <v>944495</v>
      </c>
      <c r="BM55" s="10">
        <v>3224953</v>
      </c>
      <c r="BN55" s="10">
        <v>92153</v>
      </c>
      <c r="BO55" s="10">
        <v>213161</v>
      </c>
      <c r="BP55" s="82">
        <f t="shared" si="8"/>
        <v>15004095.223999999</v>
      </c>
      <c r="BQ55" s="82">
        <f t="shared" si="9"/>
        <v>49907605.088</v>
      </c>
    </row>
    <row r="56" spans="1:69" x14ac:dyDescent="0.25">
      <c r="A56" s="26" t="s">
        <v>285</v>
      </c>
      <c r="B56" s="10">
        <v>-5829</v>
      </c>
      <c r="C56" s="10">
        <v>152781</v>
      </c>
      <c r="D56" s="10">
        <v>636875</v>
      </c>
      <c r="E56" s="10">
        <v>2674325</v>
      </c>
      <c r="F56" s="10"/>
      <c r="G56" s="10"/>
      <c r="H56" s="10">
        <v>3579688</v>
      </c>
      <c r="I56" s="10">
        <v>13765127</v>
      </c>
      <c r="J56" s="10">
        <v>3113906</v>
      </c>
      <c r="K56" s="10">
        <v>14844886</v>
      </c>
      <c r="L56" s="10">
        <v>624544</v>
      </c>
      <c r="M56" s="10">
        <v>2313628</v>
      </c>
      <c r="N56" s="10">
        <v>370829</v>
      </c>
      <c r="O56" s="10">
        <v>1368055</v>
      </c>
      <c r="P56" s="10">
        <v>25687</v>
      </c>
      <c r="Q56" s="10">
        <v>134255</v>
      </c>
      <c r="R56" s="10">
        <v>145413</v>
      </c>
      <c r="S56" s="10">
        <v>547039</v>
      </c>
      <c r="T56" s="10"/>
      <c r="U56" s="10"/>
      <c r="V56" s="10">
        <v>469706</v>
      </c>
      <c r="W56" s="10">
        <v>1840716</v>
      </c>
      <c r="X56" s="10">
        <v>53202</v>
      </c>
      <c r="Y56" s="10">
        <v>113329</v>
      </c>
      <c r="Z56" s="10">
        <v>1433317</v>
      </c>
      <c r="AA56" s="10">
        <v>5926574</v>
      </c>
      <c r="AB56" s="10">
        <v>3624586</v>
      </c>
      <c r="AC56" s="10">
        <v>14735901</v>
      </c>
      <c r="AD56" s="10">
        <v>2637337</v>
      </c>
      <c r="AE56" s="10">
        <v>9758936</v>
      </c>
      <c r="AF56" s="10">
        <v>95787</v>
      </c>
      <c r="AG56" s="10">
        <v>335460</v>
      </c>
      <c r="AH56" s="10">
        <v>573064</v>
      </c>
      <c r="AI56" s="10">
        <v>2021969</v>
      </c>
      <c r="AJ56" s="10">
        <v>43395</v>
      </c>
      <c r="AK56" s="10">
        <v>208774</v>
      </c>
      <c r="AL56" s="10">
        <v>798768</v>
      </c>
      <c r="AM56" s="10">
        <v>3088474</v>
      </c>
      <c r="AN56" s="10">
        <v>1087141</v>
      </c>
      <c r="AO56" s="10">
        <v>4464089</v>
      </c>
      <c r="AP56" s="10">
        <v>8847115.6639999971</v>
      </c>
      <c r="AQ56" s="10">
        <v>31753610.405999999</v>
      </c>
      <c r="AR56" s="10">
        <v>21112492</v>
      </c>
      <c r="AS56" s="10">
        <v>81137108</v>
      </c>
      <c r="AT56" s="10">
        <v>12007464</v>
      </c>
      <c r="AU56" s="10">
        <v>42766234</v>
      </c>
      <c r="AV56" s="10">
        <v>783</v>
      </c>
      <c r="AW56" s="10">
        <v>1639</v>
      </c>
      <c r="AX56" s="10">
        <v>2917551</v>
      </c>
      <c r="AY56" s="10">
        <v>10927816</v>
      </c>
      <c r="AZ56" s="10">
        <v>2125234</v>
      </c>
      <c r="BA56" s="10">
        <v>8569802</v>
      </c>
      <c r="BB56" s="10">
        <v>538895</v>
      </c>
      <c r="BC56" s="10">
        <v>2021033</v>
      </c>
      <c r="BD56" s="10">
        <v>1094152</v>
      </c>
      <c r="BE56" s="10">
        <v>3792908</v>
      </c>
      <c r="BF56" s="36">
        <v>869</v>
      </c>
      <c r="BG56" s="36">
        <v>3949</v>
      </c>
      <c r="BH56" s="10"/>
      <c r="BI56" s="10"/>
      <c r="BJ56" s="10">
        <v>1070290</v>
      </c>
      <c r="BK56" s="10">
        <v>4599674</v>
      </c>
      <c r="BL56" s="10">
        <v>13136581</v>
      </c>
      <c r="BM56" s="10">
        <v>51378799</v>
      </c>
      <c r="BN56" s="10">
        <v>238914</v>
      </c>
      <c r="BO56" s="10">
        <v>1074187</v>
      </c>
      <c r="BP56" s="82">
        <f t="shared" si="8"/>
        <v>82397756.664000005</v>
      </c>
      <c r="BQ56" s="82">
        <f t="shared" si="9"/>
        <v>316321077.40600002</v>
      </c>
    </row>
    <row r="57" spans="1:69" x14ac:dyDescent="0.25">
      <c r="A57" s="18"/>
    </row>
    <row r="58" spans="1:69" x14ac:dyDescent="0.25">
      <c r="A58" s="33" t="s">
        <v>233</v>
      </c>
    </row>
    <row r="59" spans="1:69" x14ac:dyDescent="0.25">
      <c r="A59" s="3" t="s">
        <v>0</v>
      </c>
      <c r="B59" s="111" t="s">
        <v>1</v>
      </c>
      <c r="C59" s="112"/>
      <c r="D59" s="111" t="s">
        <v>2</v>
      </c>
      <c r="E59" s="112"/>
      <c r="F59" s="111" t="s">
        <v>3</v>
      </c>
      <c r="G59" s="112"/>
      <c r="H59" s="111" t="s">
        <v>295</v>
      </c>
      <c r="I59" s="112"/>
      <c r="J59" s="111" t="s">
        <v>5</v>
      </c>
      <c r="K59" s="112"/>
      <c r="L59" s="111" t="s">
        <v>6</v>
      </c>
      <c r="M59" s="112"/>
      <c r="N59" s="111" t="s">
        <v>7</v>
      </c>
      <c r="O59" s="112"/>
      <c r="P59" s="111" t="s">
        <v>309</v>
      </c>
      <c r="Q59" s="112"/>
      <c r="R59" s="111" t="s">
        <v>9</v>
      </c>
      <c r="S59" s="112"/>
      <c r="T59" s="111" t="s">
        <v>10</v>
      </c>
      <c r="U59" s="112"/>
      <c r="V59" s="111" t="s">
        <v>11</v>
      </c>
      <c r="W59" s="112"/>
      <c r="X59" s="111" t="s">
        <v>12</v>
      </c>
      <c r="Y59" s="112"/>
      <c r="Z59" s="111" t="s">
        <v>13</v>
      </c>
      <c r="AA59" s="112"/>
      <c r="AB59" s="111" t="s">
        <v>14</v>
      </c>
      <c r="AC59" s="112"/>
      <c r="AD59" s="111" t="s">
        <v>15</v>
      </c>
      <c r="AE59" s="112"/>
      <c r="AF59" s="111" t="s">
        <v>16</v>
      </c>
      <c r="AG59" s="112"/>
      <c r="AH59" s="111" t="s">
        <v>17</v>
      </c>
      <c r="AI59" s="112"/>
      <c r="AJ59" s="111" t="s">
        <v>18</v>
      </c>
      <c r="AK59" s="112"/>
      <c r="AL59" s="111" t="s">
        <v>293</v>
      </c>
      <c r="AM59" s="112"/>
      <c r="AN59" s="111" t="s">
        <v>19</v>
      </c>
      <c r="AO59" s="112"/>
      <c r="AP59" s="111" t="s">
        <v>20</v>
      </c>
      <c r="AQ59" s="112"/>
      <c r="AR59" s="111" t="s">
        <v>21</v>
      </c>
      <c r="AS59" s="112"/>
      <c r="AT59" s="111" t="s">
        <v>22</v>
      </c>
      <c r="AU59" s="112"/>
      <c r="AV59" s="111" t="s">
        <v>23</v>
      </c>
      <c r="AW59" s="112"/>
      <c r="AX59" s="111" t="s">
        <v>24</v>
      </c>
      <c r="AY59" s="112"/>
      <c r="AZ59" s="111" t="s">
        <v>25</v>
      </c>
      <c r="BA59" s="112"/>
      <c r="BB59" s="111" t="s">
        <v>26</v>
      </c>
      <c r="BC59" s="112"/>
      <c r="BD59" s="111" t="s">
        <v>27</v>
      </c>
      <c r="BE59" s="112"/>
      <c r="BF59" s="111" t="s">
        <v>28</v>
      </c>
      <c r="BG59" s="112"/>
      <c r="BH59" s="111" t="s">
        <v>29</v>
      </c>
      <c r="BI59" s="112"/>
      <c r="BJ59" s="111" t="s">
        <v>30</v>
      </c>
      <c r="BK59" s="112"/>
      <c r="BL59" s="115" t="s">
        <v>31</v>
      </c>
      <c r="BM59" s="116"/>
      <c r="BN59" s="111" t="s">
        <v>32</v>
      </c>
      <c r="BO59" s="112"/>
      <c r="BP59" s="113" t="s">
        <v>33</v>
      </c>
      <c r="BQ59" s="114"/>
    </row>
    <row r="60" spans="1:69" ht="30" x14ac:dyDescent="0.25">
      <c r="A60" s="3"/>
      <c r="B60" s="66" t="s">
        <v>298</v>
      </c>
      <c r="C60" s="67" t="s">
        <v>299</v>
      </c>
      <c r="D60" s="66" t="s">
        <v>298</v>
      </c>
      <c r="E60" s="67" t="s">
        <v>299</v>
      </c>
      <c r="F60" s="66" t="s">
        <v>298</v>
      </c>
      <c r="G60" s="67" t="s">
        <v>299</v>
      </c>
      <c r="H60" s="66" t="s">
        <v>298</v>
      </c>
      <c r="I60" s="67" t="s">
        <v>299</v>
      </c>
      <c r="J60" s="66" t="s">
        <v>298</v>
      </c>
      <c r="K60" s="67" t="s">
        <v>299</v>
      </c>
      <c r="L60" s="66" t="s">
        <v>298</v>
      </c>
      <c r="M60" s="67" t="s">
        <v>299</v>
      </c>
      <c r="N60" s="66" t="s">
        <v>298</v>
      </c>
      <c r="O60" s="67" t="s">
        <v>299</v>
      </c>
      <c r="P60" s="66" t="s">
        <v>298</v>
      </c>
      <c r="Q60" s="67" t="s">
        <v>299</v>
      </c>
      <c r="R60" s="66" t="s">
        <v>298</v>
      </c>
      <c r="S60" s="67" t="s">
        <v>299</v>
      </c>
      <c r="T60" s="66" t="s">
        <v>298</v>
      </c>
      <c r="U60" s="67" t="s">
        <v>299</v>
      </c>
      <c r="V60" s="66" t="s">
        <v>298</v>
      </c>
      <c r="W60" s="67" t="s">
        <v>299</v>
      </c>
      <c r="X60" s="66" t="s">
        <v>298</v>
      </c>
      <c r="Y60" s="67" t="s">
        <v>299</v>
      </c>
      <c r="Z60" s="66" t="s">
        <v>298</v>
      </c>
      <c r="AA60" s="67" t="s">
        <v>299</v>
      </c>
      <c r="AB60" s="66" t="s">
        <v>298</v>
      </c>
      <c r="AC60" s="67" t="s">
        <v>299</v>
      </c>
      <c r="AD60" s="66" t="s">
        <v>298</v>
      </c>
      <c r="AE60" s="67" t="s">
        <v>299</v>
      </c>
      <c r="AF60" s="66" t="s">
        <v>298</v>
      </c>
      <c r="AG60" s="67" t="s">
        <v>299</v>
      </c>
      <c r="AH60" s="66" t="s">
        <v>298</v>
      </c>
      <c r="AI60" s="67" t="s">
        <v>299</v>
      </c>
      <c r="AJ60" s="66" t="s">
        <v>298</v>
      </c>
      <c r="AK60" s="67" t="s">
        <v>299</v>
      </c>
      <c r="AL60" s="66" t="s">
        <v>298</v>
      </c>
      <c r="AM60" s="67" t="s">
        <v>299</v>
      </c>
      <c r="AN60" s="66" t="s">
        <v>298</v>
      </c>
      <c r="AO60" s="67" t="s">
        <v>299</v>
      </c>
      <c r="AP60" s="66" t="s">
        <v>298</v>
      </c>
      <c r="AQ60" s="67" t="s">
        <v>299</v>
      </c>
      <c r="AR60" s="66" t="s">
        <v>298</v>
      </c>
      <c r="AS60" s="67" t="s">
        <v>299</v>
      </c>
      <c r="AT60" s="66" t="s">
        <v>298</v>
      </c>
      <c r="AU60" s="67" t="s">
        <v>299</v>
      </c>
      <c r="AV60" s="66" t="s">
        <v>298</v>
      </c>
      <c r="AW60" s="67" t="s">
        <v>299</v>
      </c>
      <c r="AX60" s="66" t="s">
        <v>298</v>
      </c>
      <c r="AY60" s="67" t="s">
        <v>299</v>
      </c>
      <c r="AZ60" s="66" t="s">
        <v>298</v>
      </c>
      <c r="BA60" s="67" t="s">
        <v>299</v>
      </c>
      <c r="BB60" s="66" t="s">
        <v>298</v>
      </c>
      <c r="BC60" s="67" t="s">
        <v>299</v>
      </c>
      <c r="BD60" s="66" t="s">
        <v>298</v>
      </c>
      <c r="BE60" s="67" t="s">
        <v>299</v>
      </c>
      <c r="BF60" s="66" t="s">
        <v>298</v>
      </c>
      <c r="BG60" s="67" t="s">
        <v>299</v>
      </c>
      <c r="BH60" s="66" t="s">
        <v>298</v>
      </c>
      <c r="BI60" s="67" t="s">
        <v>299</v>
      </c>
      <c r="BJ60" s="66" t="s">
        <v>298</v>
      </c>
      <c r="BK60" s="67" t="s">
        <v>299</v>
      </c>
      <c r="BL60" s="66" t="s">
        <v>298</v>
      </c>
      <c r="BM60" s="67" t="s">
        <v>299</v>
      </c>
      <c r="BN60" s="66" t="s">
        <v>298</v>
      </c>
      <c r="BO60" s="67" t="s">
        <v>299</v>
      </c>
      <c r="BP60" s="66" t="s">
        <v>298</v>
      </c>
      <c r="BQ60" s="67" t="s">
        <v>299</v>
      </c>
    </row>
    <row r="61" spans="1:69" x14ac:dyDescent="0.25">
      <c r="A61" s="26" t="s">
        <v>240</v>
      </c>
      <c r="B61" s="10">
        <v>-8032</v>
      </c>
      <c r="C61" s="10">
        <v>15199</v>
      </c>
      <c r="D61" s="10">
        <v>39616</v>
      </c>
      <c r="E61" s="10">
        <v>116817</v>
      </c>
      <c r="F61" s="10"/>
      <c r="G61" s="10"/>
      <c r="H61" s="10">
        <v>50260</v>
      </c>
      <c r="I61" s="10">
        <v>215046</v>
      </c>
      <c r="J61" s="10">
        <v>366708</v>
      </c>
      <c r="K61" s="10">
        <v>1098538</v>
      </c>
      <c r="L61" s="10">
        <v>40726</v>
      </c>
      <c r="M61" s="10">
        <v>137387</v>
      </c>
      <c r="N61" s="10">
        <v>177100</v>
      </c>
      <c r="O61" s="10">
        <v>627619</v>
      </c>
      <c r="P61" s="10">
        <v>8638</v>
      </c>
      <c r="Q61" s="10">
        <v>29154</v>
      </c>
      <c r="R61" s="10">
        <v>14</v>
      </c>
      <c r="S61" s="10">
        <v>1009</v>
      </c>
      <c r="T61" s="10"/>
      <c r="U61" s="10"/>
      <c r="V61" s="10">
        <v>68375</v>
      </c>
      <c r="W61" s="10">
        <v>251025</v>
      </c>
      <c r="X61" s="10">
        <v>7768</v>
      </c>
      <c r="Y61" s="10">
        <v>13787</v>
      </c>
      <c r="Z61" s="10">
        <v>522872</v>
      </c>
      <c r="AA61" s="10">
        <v>1911417</v>
      </c>
      <c r="AB61" s="10">
        <v>400240</v>
      </c>
      <c r="AC61" s="10">
        <v>1293240</v>
      </c>
      <c r="AD61" s="10">
        <v>219882</v>
      </c>
      <c r="AE61" s="10">
        <v>860429</v>
      </c>
      <c r="AF61" s="10">
        <v>8821</v>
      </c>
      <c r="AG61" s="10">
        <v>27097</v>
      </c>
      <c r="AH61" s="10">
        <v>40985</v>
      </c>
      <c r="AI61" s="10">
        <v>106954</v>
      </c>
      <c r="AJ61" s="10">
        <v>4937</v>
      </c>
      <c r="AK61" s="10">
        <v>17077</v>
      </c>
      <c r="AL61" s="10">
        <v>4678</v>
      </c>
      <c r="AM61" s="10">
        <v>11352</v>
      </c>
      <c r="AN61" s="10">
        <v>13027</v>
      </c>
      <c r="AO61" s="10">
        <v>43564</v>
      </c>
      <c r="AP61" s="10">
        <v>489931.47800000012</v>
      </c>
      <c r="AQ61" s="10">
        <v>2295032.9980000001</v>
      </c>
      <c r="AR61" s="10">
        <v>1622678</v>
      </c>
      <c r="AS61" s="10">
        <v>5861214</v>
      </c>
      <c r="AT61" s="10">
        <v>1994912</v>
      </c>
      <c r="AU61" s="10">
        <v>7716027</v>
      </c>
      <c r="AV61" s="10">
        <v>8</v>
      </c>
      <c r="AW61" s="10">
        <v>544</v>
      </c>
      <c r="AX61" s="10">
        <v>46380</v>
      </c>
      <c r="AY61" s="10">
        <v>269257</v>
      </c>
      <c r="AZ61" s="10">
        <v>156766</v>
      </c>
      <c r="BA61" s="10">
        <v>323347</v>
      </c>
      <c r="BB61" s="10">
        <v>53760</v>
      </c>
      <c r="BC61" s="10">
        <v>210207</v>
      </c>
      <c r="BD61" s="10">
        <v>783018</v>
      </c>
      <c r="BE61" s="10">
        <v>2877251</v>
      </c>
      <c r="BF61" s="36">
        <v>78108</v>
      </c>
      <c r="BG61" s="36">
        <v>287267</v>
      </c>
      <c r="BH61" s="10"/>
      <c r="BI61" s="10"/>
      <c r="BJ61" s="10">
        <v>191334</v>
      </c>
      <c r="BK61" s="10">
        <v>783795</v>
      </c>
      <c r="BL61" s="10">
        <v>1806409</v>
      </c>
      <c r="BM61" s="10">
        <v>5463870</v>
      </c>
      <c r="BN61" s="10">
        <v>70953</v>
      </c>
      <c r="BO61" s="10">
        <v>275684</v>
      </c>
      <c r="BP61" s="82">
        <f t="shared" ref="BP61:BP67" si="10">B61+D61+F61+H61+J61+L61+N61+P61+R61+T61+V61+X61+Z61+AB61+AD61+AF61+AH61+AJ61+AL61+AN61+AP61+AR61+AT61+AV61+AX61+AZ61+BB61+BD61+BF61+BH61+BJ61+BL61+BN61</f>
        <v>9260872.4780000001</v>
      </c>
      <c r="BQ61" s="82">
        <f t="shared" ref="BQ61:BQ67" si="11">C61+E61+G61+I61+K61+M61+O61+Q61+S61+U61+W61+Y61+AA61+AC61+AE61+AG61+AI61+AK61+AM61+AO61+AQ61+AS61+AU61+AW61+AY61+BA61+BC61+BE61+BG61+BI61+BK61+BM61+BO61</f>
        <v>33140206.998</v>
      </c>
    </row>
    <row r="62" spans="1:69" x14ac:dyDescent="0.25">
      <c r="A62" s="10" t="s">
        <v>291</v>
      </c>
      <c r="B62" s="10">
        <v>1135</v>
      </c>
      <c r="C62" s="10">
        <v>1135</v>
      </c>
      <c r="D62" s="10">
        <v>187691</v>
      </c>
      <c r="E62" s="10">
        <v>187691</v>
      </c>
      <c r="F62" s="10"/>
      <c r="G62" s="10"/>
      <c r="H62" s="10">
        <v>151920</v>
      </c>
      <c r="I62" s="10">
        <v>151920</v>
      </c>
      <c r="J62" s="10">
        <v>10049</v>
      </c>
      <c r="K62" s="10">
        <v>1154558</v>
      </c>
      <c r="L62" s="10">
        <v>1958</v>
      </c>
      <c r="M62" s="10">
        <v>164894</v>
      </c>
      <c r="N62" s="10">
        <v>370345</v>
      </c>
      <c r="O62" s="10">
        <v>370345</v>
      </c>
      <c r="P62" s="10">
        <v>33767</v>
      </c>
      <c r="Q62" s="10">
        <v>33767</v>
      </c>
      <c r="R62" s="10">
        <v>5666</v>
      </c>
      <c r="S62" s="10">
        <v>5666</v>
      </c>
      <c r="T62" s="10"/>
      <c r="U62" s="10"/>
      <c r="V62" s="10">
        <v>261014</v>
      </c>
      <c r="W62" s="10">
        <v>261014</v>
      </c>
      <c r="X62" s="10">
        <v>3521</v>
      </c>
      <c r="Y62" s="10">
        <v>20219</v>
      </c>
      <c r="Z62" s="10">
        <v>1496375</v>
      </c>
      <c r="AA62" s="10">
        <v>1496375</v>
      </c>
      <c r="AB62" s="10">
        <v>3904610</v>
      </c>
      <c r="AC62" s="10">
        <v>3904610</v>
      </c>
      <c r="AD62" s="10">
        <v>-99387</v>
      </c>
      <c r="AE62" s="10">
        <v>355544</v>
      </c>
      <c r="AF62" s="10">
        <v>24941</v>
      </c>
      <c r="AG62" s="10">
        <v>24941</v>
      </c>
      <c r="AH62" s="10">
        <v>130540</v>
      </c>
      <c r="AI62" s="10">
        <v>130540</v>
      </c>
      <c r="AJ62" s="10">
        <v>31638</v>
      </c>
      <c r="AK62" s="10">
        <v>31638</v>
      </c>
      <c r="AL62" s="10">
        <v>64396</v>
      </c>
      <c r="AM62" s="10">
        <v>64396</v>
      </c>
      <c r="AN62" s="10">
        <v>86814</v>
      </c>
      <c r="AO62" s="10">
        <v>86814</v>
      </c>
      <c r="AP62" s="10">
        <v>-368288.90899999975</v>
      </c>
      <c r="AQ62" s="10">
        <v>1950662.348</v>
      </c>
      <c r="AR62" s="10">
        <v>3816759</v>
      </c>
      <c r="AS62" s="10">
        <v>3816759</v>
      </c>
      <c r="AT62" s="10">
        <v>-1939713</v>
      </c>
      <c r="AU62" s="10">
        <v>2691729</v>
      </c>
      <c r="AV62" s="10">
        <v>-321</v>
      </c>
      <c r="AW62" s="10">
        <v>1335</v>
      </c>
      <c r="AX62" s="10">
        <v>365948</v>
      </c>
      <c r="AY62" s="10">
        <v>365948</v>
      </c>
      <c r="AZ62" s="10">
        <v>353720</v>
      </c>
      <c r="BA62" s="10">
        <v>353720</v>
      </c>
      <c r="BB62" s="10">
        <v>-32250</v>
      </c>
      <c r="BC62" s="10">
        <v>265480</v>
      </c>
      <c r="BD62" s="10">
        <v>3722334</v>
      </c>
      <c r="BE62" s="10">
        <v>3722334</v>
      </c>
      <c r="BF62" s="36">
        <v>68005</v>
      </c>
      <c r="BG62" s="36">
        <v>68005</v>
      </c>
      <c r="BH62" s="10"/>
      <c r="BI62" s="10"/>
      <c r="BJ62" s="10">
        <v>768655</v>
      </c>
      <c r="BK62" s="10">
        <v>768655</v>
      </c>
      <c r="BL62" s="10">
        <v>2881662</v>
      </c>
      <c r="BM62" s="10">
        <v>2881662</v>
      </c>
      <c r="BN62" s="10">
        <v>153243</v>
      </c>
      <c r="BO62" s="10">
        <v>476279</v>
      </c>
      <c r="BP62" s="82">
        <f t="shared" si="10"/>
        <v>16456746.091</v>
      </c>
      <c r="BQ62" s="82">
        <f t="shared" si="11"/>
        <v>25808635.347999997</v>
      </c>
    </row>
    <row r="63" spans="1:69" x14ac:dyDescent="0.25">
      <c r="A63" s="10" t="s">
        <v>290</v>
      </c>
      <c r="B63" s="10">
        <v>2263</v>
      </c>
      <c r="C63" s="10">
        <v>9267</v>
      </c>
      <c r="D63" s="10">
        <v>142671</v>
      </c>
      <c r="E63" s="10">
        <v>97989</v>
      </c>
      <c r="F63" s="10"/>
      <c r="G63" s="10"/>
      <c r="H63" s="10">
        <v>105121</v>
      </c>
      <c r="I63" s="10">
        <v>114387</v>
      </c>
      <c r="J63" s="10"/>
      <c r="K63" s="10">
        <v>773377</v>
      </c>
      <c r="L63" s="10"/>
      <c r="M63" s="10">
        <v>139306</v>
      </c>
      <c r="N63" s="10">
        <v>381066</v>
      </c>
      <c r="O63" s="10">
        <v>312509</v>
      </c>
      <c r="P63" s="10">
        <v>-31475</v>
      </c>
      <c r="Q63" s="10">
        <v>-28171</v>
      </c>
      <c r="R63" s="10">
        <v>6362</v>
      </c>
      <c r="S63" s="10">
        <v>20342</v>
      </c>
      <c r="T63" s="10"/>
      <c r="U63" s="10"/>
      <c r="V63" s="10">
        <v>271152</v>
      </c>
      <c r="W63" s="10">
        <v>313622</v>
      </c>
      <c r="X63" s="10"/>
      <c r="Y63" s="10">
        <v>28</v>
      </c>
      <c r="Z63" s="10">
        <v>-1448182</v>
      </c>
      <c r="AA63" s="10">
        <v>-856769</v>
      </c>
      <c r="AB63" s="10">
        <v>4045465</v>
      </c>
      <c r="AC63" s="10">
        <v>3979787</v>
      </c>
      <c r="AD63" s="10"/>
      <c r="AE63" s="10">
        <v>599720</v>
      </c>
      <c r="AF63" s="10">
        <v>24471</v>
      </c>
      <c r="AG63" s="10">
        <v>9777</v>
      </c>
      <c r="AH63" s="10">
        <v>174638</v>
      </c>
      <c r="AI63" s="10">
        <v>138951</v>
      </c>
      <c r="AJ63" s="10">
        <v>-54540</v>
      </c>
      <c r="AK63" s="10">
        <v>-60780</v>
      </c>
      <c r="AL63" s="10">
        <v>74377</v>
      </c>
      <c r="AM63" s="10">
        <v>59940</v>
      </c>
      <c r="AN63" s="10">
        <v>135380</v>
      </c>
      <c r="AO63" s="10">
        <v>98300</v>
      </c>
      <c r="AP63" s="10"/>
      <c r="AQ63" s="10">
        <v>2409136.4869999997</v>
      </c>
      <c r="AR63" s="10">
        <v>3201936</v>
      </c>
      <c r="AS63" s="10">
        <v>4147350</v>
      </c>
      <c r="AT63" s="10">
        <v>0</v>
      </c>
      <c r="AU63" s="10">
        <v>4413669</v>
      </c>
      <c r="AV63" s="10"/>
      <c r="AW63" s="10">
        <v>686</v>
      </c>
      <c r="AX63" s="10">
        <v>374974</v>
      </c>
      <c r="AY63" s="10">
        <v>345153</v>
      </c>
      <c r="AZ63" s="10">
        <v>334905</v>
      </c>
      <c r="BA63" s="10">
        <v>230214</v>
      </c>
      <c r="BB63" s="10"/>
      <c r="BC63" s="10">
        <v>-267664</v>
      </c>
      <c r="BD63" s="10">
        <v>3702937</v>
      </c>
      <c r="BE63" s="10">
        <v>3724563</v>
      </c>
      <c r="BF63" s="36">
        <v>67823</v>
      </c>
      <c r="BG63" s="36">
        <v>40341</v>
      </c>
      <c r="BH63" s="10"/>
      <c r="BI63" s="10"/>
      <c r="BJ63" s="10">
        <v>741417</v>
      </c>
      <c r="BK63" s="10">
        <v>717392</v>
      </c>
      <c r="BL63" s="10">
        <v>2304406</v>
      </c>
      <c r="BM63" s="10">
        <v>1875578</v>
      </c>
      <c r="BN63" s="10"/>
      <c r="BO63" s="10">
        <v>205908</v>
      </c>
      <c r="BP63" s="82">
        <f t="shared" si="10"/>
        <v>14557167</v>
      </c>
      <c r="BQ63" s="82">
        <f t="shared" si="11"/>
        <v>23563908.487</v>
      </c>
    </row>
    <row r="64" spans="1:69" x14ac:dyDescent="0.25">
      <c r="A64" s="26" t="s">
        <v>294</v>
      </c>
      <c r="B64" s="10"/>
      <c r="C64" s="10"/>
      <c r="D64" s="10"/>
      <c r="E64" s="10"/>
      <c r="F64" s="10"/>
      <c r="G64" s="10"/>
      <c r="H64" s="10">
        <v>97059</v>
      </c>
      <c r="I64" s="10">
        <v>252579</v>
      </c>
      <c r="J64" s="10">
        <v>376757</v>
      </c>
      <c r="K64" s="10">
        <v>1479719</v>
      </c>
      <c r="L64" s="10"/>
      <c r="M64" s="10"/>
      <c r="N64" s="10">
        <v>166379</v>
      </c>
      <c r="O64" s="10">
        <v>685455</v>
      </c>
      <c r="P64" s="10">
        <v>10930</v>
      </c>
      <c r="Q64" s="10">
        <v>34749</v>
      </c>
      <c r="R64" s="10">
        <v>-682</v>
      </c>
      <c r="S64" s="10">
        <v>-13667</v>
      </c>
      <c r="T64" s="10"/>
      <c r="U64" s="10"/>
      <c r="V64" s="10"/>
      <c r="W64" s="10"/>
      <c r="X64" s="10"/>
      <c r="Y64" s="10"/>
      <c r="Z64" s="10">
        <v>571065</v>
      </c>
      <c r="AA64" s="10">
        <v>2551023</v>
      </c>
      <c r="AB64" s="10">
        <v>259385</v>
      </c>
      <c r="AC64" s="10">
        <v>1218062</v>
      </c>
      <c r="AD64" s="10">
        <v>120495</v>
      </c>
      <c r="AE64" s="10">
        <v>616253</v>
      </c>
      <c r="AF64" s="10">
        <v>9291</v>
      </c>
      <c r="AG64" s="10">
        <v>42261</v>
      </c>
      <c r="AH64" s="10">
        <v>-3113</v>
      </c>
      <c r="AI64" s="10">
        <v>98543</v>
      </c>
      <c r="AJ64" s="10">
        <v>-17965</v>
      </c>
      <c r="AK64" s="10">
        <v>-12065</v>
      </c>
      <c r="AL64" s="10">
        <v>-5302</v>
      </c>
      <c r="AM64" s="10">
        <v>15808</v>
      </c>
      <c r="AN64" s="10">
        <v>-35539</v>
      </c>
      <c r="AO64" s="10">
        <v>32078</v>
      </c>
      <c r="AP64" s="10"/>
      <c r="AQ64" s="10"/>
      <c r="AR64" s="10">
        <v>2237500</v>
      </c>
      <c r="AS64" s="10">
        <v>5530623</v>
      </c>
      <c r="AT64" s="10">
        <v>55199</v>
      </c>
      <c r="AU64" s="10">
        <v>5994087</v>
      </c>
      <c r="AV64" s="10">
        <v>-314</v>
      </c>
      <c r="AW64" s="10">
        <v>1192</v>
      </c>
      <c r="AX64" s="10"/>
      <c r="AY64" s="10"/>
      <c r="AZ64" s="10">
        <v>175581</v>
      </c>
      <c r="BA64" s="10">
        <v>446853</v>
      </c>
      <c r="BB64" s="10">
        <v>21510</v>
      </c>
      <c r="BC64" s="10">
        <v>208023</v>
      </c>
      <c r="BD64" s="10"/>
      <c r="BE64" s="10"/>
      <c r="BF64" s="10"/>
      <c r="BG64" s="10"/>
      <c r="BH64" s="10"/>
      <c r="BI64" s="10"/>
      <c r="BJ64" s="10">
        <v>218572</v>
      </c>
      <c r="BK64" s="10">
        <v>835058</v>
      </c>
      <c r="BL64" s="10">
        <v>2383665</v>
      </c>
      <c r="BM64" s="10">
        <v>6469954</v>
      </c>
      <c r="BN64" s="10">
        <v>224196</v>
      </c>
      <c r="BO64" s="10">
        <v>546055</v>
      </c>
      <c r="BP64" s="82">
        <f t="shared" si="10"/>
        <v>6864669</v>
      </c>
      <c r="BQ64" s="82">
        <f t="shared" si="11"/>
        <v>27032643</v>
      </c>
    </row>
    <row r="65" spans="1:69" x14ac:dyDescent="0.25">
      <c r="A65" s="26" t="s">
        <v>288</v>
      </c>
      <c r="B65" s="10"/>
      <c r="C65" s="10"/>
      <c r="D65" s="10"/>
      <c r="E65" s="10"/>
      <c r="F65" s="10"/>
      <c r="G65" s="10"/>
      <c r="H65" s="10"/>
      <c r="I65" s="10">
        <v>284</v>
      </c>
      <c r="J65" s="10"/>
      <c r="K65" s="10"/>
      <c r="L65" s="10"/>
      <c r="M65" s="10"/>
      <c r="N65" s="10"/>
      <c r="O65" s="10"/>
      <c r="P65" s="10"/>
      <c r="Q65" s="10"/>
      <c r="R65" s="10">
        <v>7809</v>
      </c>
      <c r="S65" s="10">
        <v>18814</v>
      </c>
      <c r="T65" s="10"/>
      <c r="U65" s="10"/>
      <c r="V65" s="10"/>
      <c r="W65" s="10"/>
      <c r="X65" s="10"/>
      <c r="Y65" s="10"/>
      <c r="Z65" s="10"/>
      <c r="AA65" s="10"/>
      <c r="AB65" s="10">
        <v>755</v>
      </c>
      <c r="AC65" s="10">
        <v>755</v>
      </c>
      <c r="AD65" s="10"/>
      <c r="AE65" s="10"/>
      <c r="AF65" s="10"/>
      <c r="AG65" s="10"/>
      <c r="AH65" s="10"/>
      <c r="AI65" s="10">
        <v>4227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>
        <v>-119</v>
      </c>
      <c r="AU65" s="10">
        <v>22966</v>
      </c>
      <c r="AV65" s="10"/>
      <c r="AW65" s="10">
        <v>2</v>
      </c>
      <c r="AX65" s="10"/>
      <c r="AY65" s="10">
        <v>8060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1305</v>
      </c>
      <c r="BL65" s="10">
        <v>-1</v>
      </c>
      <c r="BM65" s="10">
        <v>5477</v>
      </c>
      <c r="BN65" s="10"/>
      <c r="BO65" s="10"/>
      <c r="BP65" s="82">
        <f t="shared" si="10"/>
        <v>8444</v>
      </c>
      <c r="BQ65" s="82">
        <f t="shared" si="11"/>
        <v>61890</v>
      </c>
    </row>
    <row r="66" spans="1:69" x14ac:dyDescent="0.25">
      <c r="A66" s="26" t="s">
        <v>289</v>
      </c>
      <c r="B66" s="10">
        <v>-402</v>
      </c>
      <c r="C66" s="10">
        <v>760</v>
      </c>
      <c r="D66" s="10">
        <v>1981</v>
      </c>
      <c r="E66" s="10">
        <v>7587</v>
      </c>
      <c r="F66" s="10"/>
      <c r="G66" s="10"/>
      <c r="H66" s="10">
        <v>22466</v>
      </c>
      <c r="I66" s="10">
        <v>99331</v>
      </c>
      <c r="J66" s="10">
        <v>30137</v>
      </c>
      <c r="K66" s="10">
        <v>111805</v>
      </c>
      <c r="L66" s="10">
        <v>3195</v>
      </c>
      <c r="M66" s="10">
        <v>9376</v>
      </c>
      <c r="N66" s="10">
        <v>35994</v>
      </c>
      <c r="O66" s="10">
        <v>99371</v>
      </c>
      <c r="P66" s="10"/>
      <c r="Q66" s="10"/>
      <c r="R66" s="10">
        <v>1450</v>
      </c>
      <c r="S66" s="10">
        <v>-17236</v>
      </c>
      <c r="T66" s="10"/>
      <c r="U66" s="10"/>
      <c r="V66" s="10">
        <v>19099</v>
      </c>
      <c r="W66" s="10">
        <v>52320</v>
      </c>
      <c r="X66" s="10">
        <v>388</v>
      </c>
      <c r="Y66" s="10">
        <v>689</v>
      </c>
      <c r="Z66" s="10"/>
      <c r="AA66" s="10"/>
      <c r="AB66" s="10"/>
      <c r="AC66" s="10"/>
      <c r="AD66" s="10">
        <v>28181</v>
      </c>
      <c r="AE66" s="10">
        <v>93525</v>
      </c>
      <c r="AF66" s="10">
        <v>6656</v>
      </c>
      <c r="AG66" s="10">
        <v>18648</v>
      </c>
      <c r="AH66" s="10">
        <v>2049</v>
      </c>
      <c r="AI66" s="10">
        <v>5594</v>
      </c>
      <c r="AJ66" s="10"/>
      <c r="AK66" s="10"/>
      <c r="AL66" s="10">
        <v>745</v>
      </c>
      <c r="AM66" s="10">
        <v>1112</v>
      </c>
      <c r="AN66" s="10">
        <v>-1040</v>
      </c>
      <c r="AO66" s="10">
        <v>-4525</v>
      </c>
      <c r="AP66" s="10">
        <v>24496.573999999993</v>
      </c>
      <c r="AQ66" s="10">
        <v>114751.65</v>
      </c>
      <c r="AR66" s="10"/>
      <c r="AS66" s="10"/>
      <c r="AT66" s="10">
        <v>100381</v>
      </c>
      <c r="AU66" s="10">
        <v>461414</v>
      </c>
      <c r="AV66" s="10">
        <v>6</v>
      </c>
      <c r="AW66" s="10">
        <v>414</v>
      </c>
      <c r="AX66" s="10">
        <v>8675</v>
      </c>
      <c r="AY66" s="10">
        <v>70154</v>
      </c>
      <c r="AZ66" s="10">
        <v>54423</v>
      </c>
      <c r="BA66" s="10">
        <v>97207</v>
      </c>
      <c r="BB66" s="10"/>
      <c r="BC66" s="10"/>
      <c r="BD66" s="10">
        <v>39922</v>
      </c>
      <c r="BE66" s="10">
        <v>144719</v>
      </c>
      <c r="BF66" s="36">
        <v>71759</v>
      </c>
      <c r="BG66" s="36">
        <v>264348</v>
      </c>
      <c r="BH66" s="10"/>
      <c r="BI66" s="10"/>
      <c r="BJ66" s="10">
        <v>10270</v>
      </c>
      <c r="BK66" s="10">
        <v>41647</v>
      </c>
      <c r="BL66" s="10">
        <v>908298</v>
      </c>
      <c r="BM66" s="10">
        <v>2275831</v>
      </c>
      <c r="BN66" s="10">
        <v>13997</v>
      </c>
      <c r="BO66" s="10">
        <v>58503</v>
      </c>
      <c r="BP66" s="82">
        <f t="shared" si="10"/>
        <v>1383126.574</v>
      </c>
      <c r="BQ66" s="82">
        <f t="shared" si="11"/>
        <v>4007345.65</v>
      </c>
    </row>
    <row r="67" spans="1:69" x14ac:dyDescent="0.25">
      <c r="A67" s="26" t="s">
        <v>285</v>
      </c>
      <c r="B67" s="10">
        <v>-8758</v>
      </c>
      <c r="C67" s="10">
        <v>6307</v>
      </c>
      <c r="D67" s="10">
        <v>82656</v>
      </c>
      <c r="E67" s="10">
        <v>198932</v>
      </c>
      <c r="F67" s="10"/>
      <c r="G67" s="10"/>
      <c r="H67" s="10">
        <v>74593</v>
      </c>
      <c r="I67" s="10">
        <v>153532</v>
      </c>
      <c r="J67" s="10">
        <v>346620</v>
      </c>
      <c r="K67" s="10">
        <v>1367914</v>
      </c>
      <c r="L67" s="10">
        <v>39489</v>
      </c>
      <c r="M67" s="10">
        <v>153599</v>
      </c>
      <c r="N67" s="10">
        <v>130385</v>
      </c>
      <c r="O67" s="10">
        <v>586084</v>
      </c>
      <c r="P67" s="10">
        <v>7728</v>
      </c>
      <c r="Q67" s="10">
        <v>18449</v>
      </c>
      <c r="R67" s="10">
        <v>5677</v>
      </c>
      <c r="S67" s="10">
        <v>22383</v>
      </c>
      <c r="T67" s="10"/>
      <c r="U67" s="10"/>
      <c r="V67" s="10">
        <v>39137</v>
      </c>
      <c r="W67" s="10">
        <v>146097</v>
      </c>
      <c r="X67" s="10">
        <v>10901</v>
      </c>
      <c r="Y67" s="10">
        <v>33289</v>
      </c>
      <c r="Z67" s="10">
        <v>409816</v>
      </c>
      <c r="AA67" s="10">
        <v>1820775</v>
      </c>
      <c r="AB67" s="10">
        <v>304112</v>
      </c>
      <c r="AC67" s="10">
        <v>1075882</v>
      </c>
      <c r="AD67" s="10">
        <v>92314</v>
      </c>
      <c r="AE67" s="10">
        <v>522728</v>
      </c>
      <c r="AF67" s="10">
        <v>2635</v>
      </c>
      <c r="AG67" s="10">
        <v>23613</v>
      </c>
      <c r="AH67" s="10">
        <v>-3001</v>
      </c>
      <c r="AI67" s="10">
        <v>95356</v>
      </c>
      <c r="AJ67" s="10">
        <v>1996</v>
      </c>
      <c r="AK67" s="10">
        <v>31301</v>
      </c>
      <c r="AL67" s="10">
        <v>-6047</v>
      </c>
      <c r="AM67" s="10">
        <v>14696</v>
      </c>
      <c r="AN67" s="10">
        <v>-34500</v>
      </c>
      <c r="AO67" s="10">
        <v>36602</v>
      </c>
      <c r="AP67" s="10">
        <v>97145.995000000345</v>
      </c>
      <c r="AQ67" s="10">
        <v>1721807.2090000007</v>
      </c>
      <c r="AR67" s="10">
        <v>2121452</v>
      </c>
      <c r="AS67" s="10">
        <v>5325474</v>
      </c>
      <c r="AT67" s="10">
        <v>-45301</v>
      </c>
      <c r="AU67" s="10">
        <v>5555639</v>
      </c>
      <c r="AV67" s="10">
        <v>-320</v>
      </c>
      <c r="AW67" s="10">
        <v>780</v>
      </c>
      <c r="AX67" s="10">
        <v>28679</v>
      </c>
      <c r="AY67" s="10">
        <v>227958</v>
      </c>
      <c r="AZ67" s="10">
        <v>121158</v>
      </c>
      <c r="BA67" s="10">
        <v>349646</v>
      </c>
      <c r="BB67" s="10">
        <v>30028</v>
      </c>
      <c r="BC67" s="10">
        <v>193235</v>
      </c>
      <c r="BD67" s="10">
        <v>762493</v>
      </c>
      <c r="BE67" s="10">
        <v>2730303</v>
      </c>
      <c r="BF67" s="36">
        <v>6531</v>
      </c>
      <c r="BG67" s="36">
        <v>50583</v>
      </c>
      <c r="BH67" s="10"/>
      <c r="BI67" s="10"/>
      <c r="BJ67" s="10">
        <v>208302</v>
      </c>
      <c r="BK67" s="10">
        <v>794716</v>
      </c>
      <c r="BL67" s="10">
        <v>1475366</v>
      </c>
      <c r="BM67" s="10">
        <v>4199600</v>
      </c>
      <c r="BN67" s="10">
        <v>210199</v>
      </c>
      <c r="BO67" s="10">
        <v>487552</v>
      </c>
      <c r="BP67" s="82">
        <f t="shared" si="10"/>
        <v>6511485.9950000001</v>
      </c>
      <c r="BQ67" s="82">
        <f t="shared" si="11"/>
        <v>27944832.208999999</v>
      </c>
    </row>
    <row r="68" spans="1:69" x14ac:dyDescent="0.25">
      <c r="A68" s="18"/>
    </row>
    <row r="69" spans="1:69" x14ac:dyDescent="0.25">
      <c r="A69" s="33" t="s">
        <v>234</v>
      </c>
    </row>
    <row r="70" spans="1:69" x14ac:dyDescent="0.25">
      <c r="A70" s="3" t="s">
        <v>0</v>
      </c>
      <c r="B70" s="111" t="s">
        <v>1</v>
      </c>
      <c r="C70" s="112"/>
      <c r="D70" s="111" t="s">
        <v>2</v>
      </c>
      <c r="E70" s="112"/>
      <c r="F70" s="111" t="s">
        <v>3</v>
      </c>
      <c r="G70" s="112"/>
      <c r="H70" s="111" t="s">
        <v>295</v>
      </c>
      <c r="I70" s="112"/>
      <c r="J70" s="111" t="s">
        <v>5</v>
      </c>
      <c r="K70" s="112"/>
      <c r="L70" s="111" t="s">
        <v>6</v>
      </c>
      <c r="M70" s="112"/>
      <c r="N70" s="111" t="s">
        <v>7</v>
      </c>
      <c r="O70" s="112"/>
      <c r="P70" s="111" t="s">
        <v>309</v>
      </c>
      <c r="Q70" s="112"/>
      <c r="R70" s="111" t="s">
        <v>9</v>
      </c>
      <c r="S70" s="112"/>
      <c r="T70" s="111" t="s">
        <v>10</v>
      </c>
      <c r="U70" s="112"/>
      <c r="V70" s="111" t="s">
        <v>11</v>
      </c>
      <c r="W70" s="112"/>
      <c r="X70" s="111" t="s">
        <v>12</v>
      </c>
      <c r="Y70" s="112"/>
      <c r="Z70" s="111" t="s">
        <v>13</v>
      </c>
      <c r="AA70" s="112"/>
      <c r="AB70" s="111" t="s">
        <v>14</v>
      </c>
      <c r="AC70" s="112"/>
      <c r="AD70" s="111" t="s">
        <v>15</v>
      </c>
      <c r="AE70" s="112"/>
      <c r="AF70" s="111" t="s">
        <v>16</v>
      </c>
      <c r="AG70" s="112"/>
      <c r="AH70" s="111" t="s">
        <v>17</v>
      </c>
      <c r="AI70" s="112"/>
      <c r="AJ70" s="111" t="s">
        <v>18</v>
      </c>
      <c r="AK70" s="112"/>
      <c r="AL70" s="111" t="s">
        <v>293</v>
      </c>
      <c r="AM70" s="112"/>
      <c r="AN70" s="111" t="s">
        <v>19</v>
      </c>
      <c r="AO70" s="112"/>
      <c r="AP70" s="111" t="s">
        <v>20</v>
      </c>
      <c r="AQ70" s="112"/>
      <c r="AR70" s="111" t="s">
        <v>21</v>
      </c>
      <c r="AS70" s="112"/>
      <c r="AT70" s="111" t="s">
        <v>22</v>
      </c>
      <c r="AU70" s="112"/>
      <c r="AV70" s="111" t="s">
        <v>23</v>
      </c>
      <c r="AW70" s="112"/>
      <c r="AX70" s="111" t="s">
        <v>24</v>
      </c>
      <c r="AY70" s="112"/>
      <c r="AZ70" s="111" t="s">
        <v>25</v>
      </c>
      <c r="BA70" s="112"/>
      <c r="BB70" s="111" t="s">
        <v>26</v>
      </c>
      <c r="BC70" s="112"/>
      <c r="BD70" s="111" t="s">
        <v>27</v>
      </c>
      <c r="BE70" s="112"/>
      <c r="BF70" s="111" t="s">
        <v>28</v>
      </c>
      <c r="BG70" s="112"/>
      <c r="BH70" s="111" t="s">
        <v>29</v>
      </c>
      <c r="BI70" s="112"/>
      <c r="BJ70" s="111" t="s">
        <v>30</v>
      </c>
      <c r="BK70" s="112"/>
      <c r="BL70" s="115" t="s">
        <v>31</v>
      </c>
      <c r="BM70" s="116"/>
      <c r="BN70" s="111" t="s">
        <v>32</v>
      </c>
      <c r="BO70" s="112"/>
      <c r="BP70" s="113" t="s">
        <v>33</v>
      </c>
      <c r="BQ70" s="114"/>
    </row>
    <row r="71" spans="1:69" ht="30" x14ac:dyDescent="0.25">
      <c r="A71" s="3"/>
      <c r="B71" s="66" t="s">
        <v>298</v>
      </c>
      <c r="C71" s="67" t="s">
        <v>299</v>
      </c>
      <c r="D71" s="66" t="s">
        <v>298</v>
      </c>
      <c r="E71" s="67" t="s">
        <v>299</v>
      </c>
      <c r="F71" s="66" t="s">
        <v>298</v>
      </c>
      <c r="G71" s="67" t="s">
        <v>299</v>
      </c>
      <c r="H71" s="66" t="s">
        <v>298</v>
      </c>
      <c r="I71" s="67" t="s">
        <v>299</v>
      </c>
      <c r="J71" s="66" t="s">
        <v>298</v>
      </c>
      <c r="K71" s="67" t="s">
        <v>299</v>
      </c>
      <c r="L71" s="66" t="s">
        <v>298</v>
      </c>
      <c r="M71" s="67" t="s">
        <v>299</v>
      </c>
      <c r="N71" s="66" t="s">
        <v>298</v>
      </c>
      <c r="O71" s="67" t="s">
        <v>299</v>
      </c>
      <c r="P71" s="66" t="s">
        <v>298</v>
      </c>
      <c r="Q71" s="67" t="s">
        <v>299</v>
      </c>
      <c r="R71" s="66" t="s">
        <v>298</v>
      </c>
      <c r="S71" s="67" t="s">
        <v>299</v>
      </c>
      <c r="T71" s="66" t="s">
        <v>298</v>
      </c>
      <c r="U71" s="67" t="s">
        <v>299</v>
      </c>
      <c r="V71" s="66" t="s">
        <v>298</v>
      </c>
      <c r="W71" s="67" t="s">
        <v>299</v>
      </c>
      <c r="X71" s="66" t="s">
        <v>298</v>
      </c>
      <c r="Y71" s="67" t="s">
        <v>299</v>
      </c>
      <c r="Z71" s="66" t="s">
        <v>298</v>
      </c>
      <c r="AA71" s="67" t="s">
        <v>299</v>
      </c>
      <c r="AB71" s="66" t="s">
        <v>298</v>
      </c>
      <c r="AC71" s="67" t="s">
        <v>299</v>
      </c>
      <c r="AD71" s="66" t="s">
        <v>298</v>
      </c>
      <c r="AE71" s="67" t="s">
        <v>299</v>
      </c>
      <c r="AF71" s="66" t="s">
        <v>298</v>
      </c>
      <c r="AG71" s="67" t="s">
        <v>299</v>
      </c>
      <c r="AH71" s="66" t="s">
        <v>298</v>
      </c>
      <c r="AI71" s="67" t="s">
        <v>299</v>
      </c>
      <c r="AJ71" s="66" t="s">
        <v>298</v>
      </c>
      <c r="AK71" s="67" t="s">
        <v>299</v>
      </c>
      <c r="AL71" s="66" t="s">
        <v>298</v>
      </c>
      <c r="AM71" s="67" t="s">
        <v>299</v>
      </c>
      <c r="AN71" s="66" t="s">
        <v>298</v>
      </c>
      <c r="AO71" s="67" t="s">
        <v>299</v>
      </c>
      <c r="AP71" s="66" t="s">
        <v>298</v>
      </c>
      <c r="AQ71" s="67" t="s">
        <v>299</v>
      </c>
      <c r="AR71" s="66" t="s">
        <v>298</v>
      </c>
      <c r="AS71" s="67" t="s">
        <v>299</v>
      </c>
      <c r="AT71" s="66" t="s">
        <v>298</v>
      </c>
      <c r="AU71" s="67" t="s">
        <v>299</v>
      </c>
      <c r="AV71" s="66" t="s">
        <v>298</v>
      </c>
      <c r="AW71" s="67" t="s">
        <v>299</v>
      </c>
      <c r="AX71" s="66" t="s">
        <v>298</v>
      </c>
      <c r="AY71" s="67" t="s">
        <v>299</v>
      </c>
      <c r="AZ71" s="66" t="s">
        <v>298</v>
      </c>
      <c r="BA71" s="67" t="s">
        <v>299</v>
      </c>
      <c r="BB71" s="66" t="s">
        <v>298</v>
      </c>
      <c r="BC71" s="67" t="s">
        <v>299</v>
      </c>
      <c r="BD71" s="66" t="s">
        <v>298</v>
      </c>
      <c r="BE71" s="67" t="s">
        <v>299</v>
      </c>
      <c r="BF71" s="66" t="s">
        <v>298</v>
      </c>
      <c r="BG71" s="67" t="s">
        <v>299</v>
      </c>
      <c r="BH71" s="66" t="s">
        <v>298</v>
      </c>
      <c r="BI71" s="67" t="s">
        <v>299</v>
      </c>
      <c r="BJ71" s="66" t="s">
        <v>298</v>
      </c>
      <c r="BK71" s="67" t="s">
        <v>299</v>
      </c>
      <c r="BL71" s="66" t="s">
        <v>298</v>
      </c>
      <c r="BM71" s="67" t="s">
        <v>299</v>
      </c>
      <c r="BN71" s="66" t="s">
        <v>298</v>
      </c>
      <c r="BO71" s="67" t="s">
        <v>299</v>
      </c>
      <c r="BP71" s="66" t="s">
        <v>298</v>
      </c>
      <c r="BQ71" s="67" t="s">
        <v>299</v>
      </c>
    </row>
    <row r="72" spans="1:69" x14ac:dyDescent="0.25">
      <c r="A72" s="26" t="s">
        <v>240</v>
      </c>
      <c r="B72" s="10">
        <v>86704</v>
      </c>
      <c r="C72" s="10">
        <v>278795</v>
      </c>
      <c r="D72" s="10"/>
      <c r="E72" s="10"/>
      <c r="F72" s="10"/>
      <c r="G72" s="10"/>
      <c r="H72" s="10"/>
      <c r="I72" s="10"/>
      <c r="J72" s="10">
        <v>34945</v>
      </c>
      <c r="K72" s="10">
        <v>132768</v>
      </c>
      <c r="L72" s="10">
        <v>194</v>
      </c>
      <c r="M72" s="10">
        <v>928</v>
      </c>
      <c r="N72" s="10">
        <v>5230</v>
      </c>
      <c r="O72" s="10">
        <v>28165</v>
      </c>
      <c r="P72" s="10"/>
      <c r="Q72" s="10"/>
      <c r="R72" s="10"/>
      <c r="S72" s="10"/>
      <c r="T72" s="10"/>
      <c r="U72" s="10"/>
      <c r="V72" s="10">
        <v>266</v>
      </c>
      <c r="W72" s="10">
        <v>10493</v>
      </c>
      <c r="X72" s="10"/>
      <c r="Y72" s="10"/>
      <c r="Z72" s="10"/>
      <c r="AA72" s="10">
        <v>37</v>
      </c>
      <c r="AB72" s="10">
        <v>50776</v>
      </c>
      <c r="AC72" s="10">
        <v>216141</v>
      </c>
      <c r="AD72" s="10">
        <v>15438</v>
      </c>
      <c r="AE72" s="10">
        <v>30386</v>
      </c>
      <c r="AF72" s="10"/>
      <c r="AG72" s="10"/>
      <c r="AH72" s="10">
        <v>612</v>
      </c>
      <c r="AI72" s="10">
        <v>705</v>
      </c>
      <c r="AJ72" s="10"/>
      <c r="AK72" s="10"/>
      <c r="AL72" s="10"/>
      <c r="AM72" s="10"/>
      <c r="AN72" s="10"/>
      <c r="AO72" s="10"/>
      <c r="AP72" s="10">
        <v>23483.022000000001</v>
      </c>
      <c r="AQ72" s="10">
        <v>45548.834000000003</v>
      </c>
      <c r="AR72" s="10">
        <v>527493</v>
      </c>
      <c r="AS72" s="10">
        <v>1697150</v>
      </c>
      <c r="AT72" s="10">
        <v>8939</v>
      </c>
      <c r="AU72" s="10">
        <v>47632</v>
      </c>
      <c r="AV72" s="10">
        <v>505</v>
      </c>
      <c r="AW72" s="10">
        <v>2893</v>
      </c>
      <c r="AX72" s="10">
        <v>1037</v>
      </c>
      <c r="AY72" s="10">
        <v>5183</v>
      </c>
      <c r="AZ72" s="10"/>
      <c r="BA72" s="10"/>
      <c r="BB72" s="10">
        <v>431</v>
      </c>
      <c r="BC72" s="10">
        <v>6034</v>
      </c>
      <c r="BD72" s="10">
        <v>1457</v>
      </c>
      <c r="BE72" s="10">
        <v>10851</v>
      </c>
      <c r="BF72" s="10"/>
      <c r="BG72" s="10"/>
      <c r="BH72" s="10"/>
      <c r="BI72" s="10"/>
      <c r="BJ72" s="10">
        <v>809314</v>
      </c>
      <c r="BK72" s="10">
        <v>1296617</v>
      </c>
      <c r="BL72" s="10">
        <v>35896</v>
      </c>
      <c r="BM72" s="10">
        <v>154160</v>
      </c>
      <c r="BN72" s="10"/>
      <c r="BO72" s="10">
        <v>51</v>
      </c>
      <c r="BP72" s="82">
        <f t="shared" ref="BP72:BP78" si="12">B72+D72+F72+H72+J72+L72+N72+P72+R72+T72+V72+X72+Z72+AB72+AD72+AF72+AH72+AJ72+AL72+AN72+AP72+AR72+AT72+AV72+AX72+AZ72+BB72+BD72+BF72+BH72+BJ72+BL72+BN72</f>
        <v>1602720.0219999999</v>
      </c>
      <c r="BQ72" s="82">
        <f t="shared" ref="BQ72:BQ78" si="13">C72+E72+G72+I72+K72+M72+O72+Q72+S72+U72+W72+Y72+AA72+AC72+AE72+AG72+AI72+AK72+AM72+AO72+AQ72+AS72+AU72+AW72+AY72+BA72+BC72+BE72+BG72+BI72+BK72+BM72+BO72</f>
        <v>3964537.8339999998</v>
      </c>
    </row>
    <row r="73" spans="1:69" x14ac:dyDescent="0.25">
      <c r="A73" s="10" t="s">
        <v>291</v>
      </c>
      <c r="B73" s="10">
        <v>23787</v>
      </c>
      <c r="C73" s="10">
        <v>23787</v>
      </c>
      <c r="D73" s="10"/>
      <c r="E73" s="10"/>
      <c r="F73" s="10"/>
      <c r="G73" s="10"/>
      <c r="H73" s="10"/>
      <c r="I73" s="10"/>
      <c r="J73" s="10">
        <v>8481</v>
      </c>
      <c r="K73" s="10">
        <v>88157</v>
      </c>
      <c r="L73" s="10">
        <v>1053</v>
      </c>
      <c r="M73" s="10">
        <v>214107</v>
      </c>
      <c r="N73" s="10">
        <v>15312</v>
      </c>
      <c r="O73" s="10">
        <v>15312</v>
      </c>
      <c r="P73" s="10"/>
      <c r="Q73" s="10"/>
      <c r="R73" s="10"/>
      <c r="S73" s="10"/>
      <c r="T73" s="10"/>
      <c r="U73" s="10"/>
      <c r="V73" s="10">
        <v>31634</v>
      </c>
      <c r="W73" s="10">
        <v>31634</v>
      </c>
      <c r="X73" s="10"/>
      <c r="Y73" s="10"/>
      <c r="Z73" s="10">
        <v>11587</v>
      </c>
      <c r="AA73" s="10">
        <v>11587</v>
      </c>
      <c r="AB73" s="10">
        <v>495362</v>
      </c>
      <c r="AC73" s="10">
        <v>495362</v>
      </c>
      <c r="AD73" s="10">
        <v>-29171</v>
      </c>
      <c r="AE73" s="10">
        <v>191339</v>
      </c>
      <c r="AF73" s="10"/>
      <c r="AG73" s="10"/>
      <c r="AH73" s="10">
        <v>29002</v>
      </c>
      <c r="AI73" s="10">
        <v>29002</v>
      </c>
      <c r="AJ73" s="10">
        <v>2250</v>
      </c>
      <c r="AK73" s="10">
        <v>2250</v>
      </c>
      <c r="AL73" s="10"/>
      <c r="AM73" s="10"/>
      <c r="AN73" s="10"/>
      <c r="AO73" s="10"/>
      <c r="AP73" s="10">
        <v>-64134.856000000022</v>
      </c>
      <c r="AQ73" s="10">
        <v>538585.83700000006</v>
      </c>
      <c r="AR73" s="10">
        <v>6101689</v>
      </c>
      <c r="AS73" s="10">
        <v>6101689</v>
      </c>
      <c r="AT73" s="10">
        <v>-22696</v>
      </c>
      <c r="AU73" s="10">
        <v>1398468</v>
      </c>
      <c r="AV73" s="10">
        <v>-854</v>
      </c>
      <c r="AW73" s="10">
        <v>50692</v>
      </c>
      <c r="AX73" s="10">
        <v>222340</v>
      </c>
      <c r="AY73" s="10">
        <v>222340</v>
      </c>
      <c r="AZ73" s="10"/>
      <c r="BA73" s="10"/>
      <c r="BB73" s="10">
        <v>-2508</v>
      </c>
      <c r="BC73" s="10">
        <v>26732</v>
      </c>
      <c r="BD73" s="10">
        <v>41301</v>
      </c>
      <c r="BE73" s="10">
        <v>41301</v>
      </c>
      <c r="BF73" s="36">
        <v>5975</v>
      </c>
      <c r="BG73" s="36">
        <v>5975</v>
      </c>
      <c r="BH73" s="10"/>
      <c r="BI73" s="10"/>
      <c r="BJ73" s="10">
        <v>2471050</v>
      </c>
      <c r="BK73" s="10">
        <v>2471050</v>
      </c>
      <c r="BL73" s="10">
        <v>2020596</v>
      </c>
      <c r="BM73" s="10">
        <v>2020596</v>
      </c>
      <c r="BN73" s="10">
        <v>772</v>
      </c>
      <c r="BO73" s="10">
        <v>2781</v>
      </c>
      <c r="BP73" s="82">
        <f t="shared" si="12"/>
        <v>11362827.144000001</v>
      </c>
      <c r="BQ73" s="82">
        <f t="shared" si="13"/>
        <v>13982746.837000001</v>
      </c>
    </row>
    <row r="74" spans="1:69" x14ac:dyDescent="0.25">
      <c r="A74" s="10" t="s">
        <v>290</v>
      </c>
      <c r="B74" s="10">
        <v>26589</v>
      </c>
      <c r="C74" s="10">
        <v>13255</v>
      </c>
      <c r="D74" s="10"/>
      <c r="E74" s="10"/>
      <c r="F74" s="10"/>
      <c r="G74" s="10"/>
      <c r="H74" s="10"/>
      <c r="I74" s="10"/>
      <c r="J74" s="10"/>
      <c r="K74" s="10">
        <v>82533</v>
      </c>
      <c r="L74" s="10"/>
      <c r="M74" s="10">
        <v>153032</v>
      </c>
      <c r="N74" s="10">
        <v>12415</v>
      </c>
      <c r="O74" s="10">
        <v>18578</v>
      </c>
      <c r="P74" s="10"/>
      <c r="Q74" s="10"/>
      <c r="R74" s="10"/>
      <c r="S74" s="10">
        <v>992</v>
      </c>
      <c r="T74" s="10"/>
      <c r="U74" s="10"/>
      <c r="V74" s="10">
        <v>22344</v>
      </c>
      <c r="W74" s="10">
        <v>16978</v>
      </c>
      <c r="X74" s="10"/>
      <c r="Y74" s="10"/>
      <c r="Z74" s="10">
        <v>-10837</v>
      </c>
      <c r="AA74" s="10">
        <v>-8638</v>
      </c>
      <c r="AB74" s="10">
        <v>482564</v>
      </c>
      <c r="AC74" s="10">
        <v>430961</v>
      </c>
      <c r="AD74" s="10"/>
      <c r="AE74" s="10">
        <v>154799</v>
      </c>
      <c r="AF74" s="10"/>
      <c r="AG74" s="10"/>
      <c r="AH74" s="10">
        <v>26153</v>
      </c>
      <c r="AI74" s="10">
        <v>36102</v>
      </c>
      <c r="AJ74" s="10">
        <v>-2195</v>
      </c>
      <c r="AK74" s="10">
        <v>-2021</v>
      </c>
      <c r="AL74" s="10"/>
      <c r="AM74" s="10"/>
      <c r="AN74" s="10"/>
      <c r="AO74" s="10"/>
      <c r="AP74" s="10"/>
      <c r="AQ74" s="10">
        <v>325793.429</v>
      </c>
      <c r="AR74" s="10">
        <v>5725119</v>
      </c>
      <c r="AS74" s="10">
        <v>5083594</v>
      </c>
      <c r="AT74" s="10">
        <v>0</v>
      </c>
      <c r="AU74" s="10">
        <v>1347162</v>
      </c>
      <c r="AV74" s="10"/>
      <c r="AW74" s="10">
        <v>48065</v>
      </c>
      <c r="AX74" s="10">
        <v>196650</v>
      </c>
      <c r="AY74" s="10">
        <v>155010</v>
      </c>
      <c r="AZ74" s="10"/>
      <c r="BA74" s="10"/>
      <c r="BB74" s="10"/>
      <c r="BC74" s="10">
        <v>-31333</v>
      </c>
      <c r="BD74" s="10">
        <v>46563</v>
      </c>
      <c r="BE74" s="10">
        <v>34635</v>
      </c>
      <c r="BF74" s="36">
        <v>6139</v>
      </c>
      <c r="BG74" s="36">
        <v>6418</v>
      </c>
      <c r="BH74" s="10"/>
      <c r="BI74" s="10"/>
      <c r="BJ74" s="10">
        <v>2368505</v>
      </c>
      <c r="BK74" s="10">
        <v>2018781</v>
      </c>
      <c r="BL74" s="10">
        <v>1901953</v>
      </c>
      <c r="BM74" s="10">
        <v>1457832</v>
      </c>
      <c r="BN74" s="10"/>
      <c r="BO74" s="10">
        <v>2428</v>
      </c>
      <c r="BP74" s="82">
        <f t="shared" si="12"/>
        <v>10801962</v>
      </c>
      <c r="BQ74" s="82">
        <f t="shared" si="13"/>
        <v>11344956.429</v>
      </c>
    </row>
    <row r="75" spans="1:69" x14ac:dyDescent="0.25">
      <c r="A75" s="26" t="s">
        <v>294</v>
      </c>
      <c r="B75" s="10"/>
      <c r="C75" s="10"/>
      <c r="D75" s="10"/>
      <c r="E75" s="10"/>
      <c r="F75" s="10"/>
      <c r="G75" s="10"/>
      <c r="H75" s="10"/>
      <c r="I75" s="10"/>
      <c r="J75" s="10">
        <v>43426</v>
      </c>
      <c r="K75" s="10">
        <v>138392</v>
      </c>
      <c r="L75" s="10"/>
      <c r="M75" s="10"/>
      <c r="N75" s="10">
        <v>8127</v>
      </c>
      <c r="O75" s="10">
        <v>24899</v>
      </c>
      <c r="P75" s="10"/>
      <c r="Q75" s="10"/>
      <c r="R75" s="10"/>
      <c r="S75" s="10">
        <v>-992</v>
      </c>
      <c r="T75" s="10"/>
      <c r="U75" s="10"/>
      <c r="V75" s="10"/>
      <c r="W75" s="10"/>
      <c r="X75" s="10"/>
      <c r="Y75" s="10"/>
      <c r="Z75" s="10">
        <v>750</v>
      </c>
      <c r="AA75" s="10">
        <v>2985</v>
      </c>
      <c r="AB75" s="10">
        <v>63575</v>
      </c>
      <c r="AC75" s="10">
        <v>280542</v>
      </c>
      <c r="AD75" s="10">
        <v>-13733</v>
      </c>
      <c r="AE75" s="10">
        <v>66926</v>
      </c>
      <c r="AF75" s="10"/>
      <c r="AG75" s="10"/>
      <c r="AH75" s="10">
        <v>3461</v>
      </c>
      <c r="AI75" s="10">
        <v>-6394</v>
      </c>
      <c r="AJ75" s="10">
        <v>55</v>
      </c>
      <c r="AK75" s="10">
        <v>229</v>
      </c>
      <c r="AL75" s="10"/>
      <c r="AM75" s="10"/>
      <c r="AN75" s="10"/>
      <c r="AO75" s="10"/>
      <c r="AP75" s="10"/>
      <c r="AQ75" s="10"/>
      <c r="AR75" s="10">
        <v>904064</v>
      </c>
      <c r="AS75" s="10">
        <v>2715245</v>
      </c>
      <c r="AT75" s="10">
        <v>-13757</v>
      </c>
      <c r="AU75" s="10">
        <v>98938</v>
      </c>
      <c r="AV75" s="10">
        <v>-349</v>
      </c>
      <c r="AW75" s="10">
        <v>5519</v>
      </c>
      <c r="AX75" s="10"/>
      <c r="AY75" s="10"/>
      <c r="AZ75" s="10"/>
      <c r="BA75" s="10"/>
      <c r="BB75" s="10">
        <v>-2077</v>
      </c>
      <c r="BC75" s="10">
        <v>1434</v>
      </c>
      <c r="BD75" s="10"/>
      <c r="BE75" s="10"/>
      <c r="BF75" s="10"/>
      <c r="BG75" s="10"/>
      <c r="BH75" s="10"/>
      <c r="BI75" s="10"/>
      <c r="BJ75" s="10">
        <v>911859</v>
      </c>
      <c r="BK75" s="10">
        <v>1748886</v>
      </c>
      <c r="BL75" s="10">
        <v>154539</v>
      </c>
      <c r="BM75" s="10">
        <v>716924</v>
      </c>
      <c r="BN75" s="10">
        <v>772</v>
      </c>
      <c r="BO75" s="10">
        <v>404</v>
      </c>
      <c r="BP75" s="82">
        <f t="shared" si="12"/>
        <v>2060712</v>
      </c>
      <c r="BQ75" s="82">
        <f t="shared" si="13"/>
        <v>5793937</v>
      </c>
    </row>
    <row r="76" spans="1:69" x14ac:dyDescent="0.25">
      <c r="A76" s="26" t="s">
        <v>288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>
        <v>-822</v>
      </c>
      <c r="AU76" s="10">
        <v>14611</v>
      </c>
      <c r="AV76" s="10">
        <v>65</v>
      </c>
      <c r="AW76" s="10">
        <v>65</v>
      </c>
      <c r="AX76" s="10"/>
      <c r="AY76" s="10"/>
      <c r="AZ76" s="10"/>
      <c r="BA76" s="10"/>
      <c r="BB76" s="10"/>
      <c r="BC76" s="10"/>
      <c r="BD76" s="10"/>
      <c r="BE76" s="10">
        <v>2066</v>
      </c>
      <c r="BF76" s="10"/>
      <c r="BG76" s="10"/>
      <c r="BH76" s="10"/>
      <c r="BI76" s="10"/>
      <c r="BJ76" s="10">
        <v>73360</v>
      </c>
      <c r="BK76" s="10">
        <v>86180</v>
      </c>
      <c r="BL76" s="10">
        <v>1</v>
      </c>
      <c r="BM76" s="10">
        <v>4</v>
      </c>
      <c r="BN76" s="10"/>
      <c r="BO76" s="10"/>
      <c r="BP76" s="82">
        <f t="shared" si="12"/>
        <v>72604</v>
      </c>
      <c r="BQ76" s="82">
        <f t="shared" si="13"/>
        <v>102926</v>
      </c>
    </row>
    <row r="77" spans="1:69" x14ac:dyDescent="0.25">
      <c r="A77" s="26" t="s">
        <v>289</v>
      </c>
      <c r="B77" s="10">
        <v>56358</v>
      </c>
      <c r="C77" s="10">
        <v>181217</v>
      </c>
      <c r="D77" s="10"/>
      <c r="E77" s="10"/>
      <c r="F77" s="10"/>
      <c r="G77" s="10"/>
      <c r="H77" s="10"/>
      <c r="I77" s="10"/>
      <c r="J77" s="10">
        <v>34314</v>
      </c>
      <c r="K77" s="10">
        <v>128831</v>
      </c>
      <c r="L77" s="10">
        <v>33</v>
      </c>
      <c r="M77" s="10">
        <v>-7907</v>
      </c>
      <c r="N77" s="10">
        <v>4343</v>
      </c>
      <c r="O77" s="10">
        <v>23416</v>
      </c>
      <c r="P77" s="10"/>
      <c r="Q77" s="10"/>
      <c r="R77" s="10"/>
      <c r="S77" s="10">
        <v>-992</v>
      </c>
      <c r="T77" s="10"/>
      <c r="U77" s="10"/>
      <c r="V77" s="10">
        <v>13</v>
      </c>
      <c r="W77" s="10">
        <v>1173</v>
      </c>
      <c r="X77" s="10"/>
      <c r="Y77" s="10"/>
      <c r="Z77" s="10"/>
      <c r="AA77" s="10"/>
      <c r="AB77" s="10"/>
      <c r="AC77" s="10"/>
      <c r="AD77" s="10">
        <v>980</v>
      </c>
      <c r="AE77" s="10">
        <v>6968</v>
      </c>
      <c r="AF77" s="10"/>
      <c r="AG77" s="10"/>
      <c r="AH77" s="10">
        <v>31</v>
      </c>
      <c r="AI77" s="10">
        <v>35</v>
      </c>
      <c r="AJ77" s="10"/>
      <c r="AK77" s="10"/>
      <c r="AL77" s="10"/>
      <c r="AM77" s="10"/>
      <c r="AN77" s="10"/>
      <c r="AO77" s="10"/>
      <c r="AP77" s="10">
        <v>1185.7069999999999</v>
      </c>
      <c r="AQ77" s="10">
        <v>2298.1959999999999</v>
      </c>
      <c r="AR77" s="10"/>
      <c r="AS77" s="10"/>
      <c r="AT77" s="10">
        <v>12524</v>
      </c>
      <c r="AU77" s="10">
        <v>43390</v>
      </c>
      <c r="AV77" s="10">
        <v>31</v>
      </c>
      <c r="AW77" s="10">
        <v>150</v>
      </c>
      <c r="AX77" s="10">
        <v>76</v>
      </c>
      <c r="AY77" s="10">
        <v>295</v>
      </c>
      <c r="AZ77" s="10"/>
      <c r="BA77" s="10"/>
      <c r="BB77" s="10"/>
      <c r="BC77" s="10"/>
      <c r="BD77" s="10">
        <v>743</v>
      </c>
      <c r="BE77" s="10">
        <v>10437</v>
      </c>
      <c r="BF77" s="10"/>
      <c r="BG77" s="10"/>
      <c r="BH77" s="10"/>
      <c r="BI77" s="10"/>
      <c r="BJ77" s="10">
        <v>649370</v>
      </c>
      <c r="BK77" s="10">
        <v>868851</v>
      </c>
      <c r="BL77" s="10">
        <v>8349</v>
      </c>
      <c r="BM77" s="10">
        <v>16909</v>
      </c>
      <c r="BN77" s="10"/>
      <c r="BO77" s="10">
        <v>3</v>
      </c>
      <c r="BP77" s="82">
        <f t="shared" si="12"/>
        <v>768350.70699999994</v>
      </c>
      <c r="BQ77" s="82">
        <f t="shared" si="13"/>
        <v>1275074.196</v>
      </c>
    </row>
    <row r="78" spans="1:69" x14ac:dyDescent="0.25">
      <c r="A78" s="26" t="s">
        <v>285</v>
      </c>
      <c r="B78" s="10">
        <v>27544</v>
      </c>
      <c r="C78" s="10">
        <v>108110</v>
      </c>
      <c r="D78" s="10"/>
      <c r="E78" s="10"/>
      <c r="F78" s="10"/>
      <c r="G78" s="10"/>
      <c r="H78" s="10"/>
      <c r="I78" s="10"/>
      <c r="J78" s="10">
        <v>9112</v>
      </c>
      <c r="K78" s="10">
        <v>9561</v>
      </c>
      <c r="L78" s="10">
        <v>1214</v>
      </c>
      <c r="M78" s="10">
        <v>69910</v>
      </c>
      <c r="N78" s="10">
        <v>3784</v>
      </c>
      <c r="O78" s="10">
        <v>1483</v>
      </c>
      <c r="P78" s="10"/>
      <c r="Q78" s="10"/>
      <c r="R78" s="10"/>
      <c r="S78" s="10"/>
      <c r="T78" s="10"/>
      <c r="U78" s="10"/>
      <c r="V78" s="10">
        <v>9542</v>
      </c>
      <c r="W78" s="10">
        <v>23976</v>
      </c>
      <c r="X78" s="10"/>
      <c r="Y78" s="10"/>
      <c r="Z78" s="10">
        <v>713</v>
      </c>
      <c r="AA78" s="10">
        <v>2836</v>
      </c>
      <c r="AB78" s="10">
        <v>47219</v>
      </c>
      <c r="AC78" s="10">
        <v>165541</v>
      </c>
      <c r="AD78" s="10">
        <v>-14713</v>
      </c>
      <c r="AE78" s="10">
        <v>59958</v>
      </c>
      <c r="AF78" s="10"/>
      <c r="AG78" s="10"/>
      <c r="AH78" s="10">
        <v>2742</v>
      </c>
      <c r="AI78" s="10">
        <v>4427</v>
      </c>
      <c r="AJ78" s="10">
        <v>24</v>
      </c>
      <c r="AK78" s="10">
        <v>107</v>
      </c>
      <c r="AL78" s="10"/>
      <c r="AM78" s="10"/>
      <c r="AN78" s="10"/>
      <c r="AO78" s="10"/>
      <c r="AP78" s="10">
        <v>-41837.541000000019</v>
      </c>
      <c r="AQ78" s="10">
        <v>256043.04600000009</v>
      </c>
      <c r="AR78" s="10">
        <v>1001420</v>
      </c>
      <c r="AS78" s="10">
        <v>2645212</v>
      </c>
      <c r="AT78" s="10">
        <v>-27103</v>
      </c>
      <c r="AU78" s="10">
        <v>70159</v>
      </c>
      <c r="AV78" s="10">
        <v>-315</v>
      </c>
      <c r="AW78" s="10">
        <v>5434</v>
      </c>
      <c r="AX78" s="10">
        <v>26651</v>
      </c>
      <c r="AY78" s="10">
        <v>72218</v>
      </c>
      <c r="AZ78" s="10"/>
      <c r="BA78" s="10"/>
      <c r="BB78" s="10">
        <v>-1900</v>
      </c>
      <c r="BC78" s="10">
        <v>1917</v>
      </c>
      <c r="BD78" s="10">
        <v>-4548</v>
      </c>
      <c r="BE78" s="10">
        <v>9146</v>
      </c>
      <c r="BF78" s="10">
        <v>-164</v>
      </c>
      <c r="BG78" s="10">
        <v>-443</v>
      </c>
      <c r="BH78" s="10"/>
      <c r="BI78" s="10"/>
      <c r="BJ78" s="10">
        <v>335849</v>
      </c>
      <c r="BK78" s="10">
        <v>966215</v>
      </c>
      <c r="BL78" s="10">
        <v>146191</v>
      </c>
      <c r="BM78" s="10">
        <v>700019</v>
      </c>
      <c r="BN78" s="10">
        <v>772</v>
      </c>
      <c r="BO78" s="10">
        <v>401</v>
      </c>
      <c r="BP78" s="82">
        <f t="shared" si="12"/>
        <v>1522196.459</v>
      </c>
      <c r="BQ78" s="82">
        <f t="shared" si="13"/>
        <v>5172230.0460000001</v>
      </c>
    </row>
    <row r="79" spans="1:69" x14ac:dyDescent="0.25">
      <c r="A79" s="34"/>
    </row>
    <row r="80" spans="1:69" x14ac:dyDescent="0.25">
      <c r="A80" s="35" t="s">
        <v>235</v>
      </c>
    </row>
    <row r="81" spans="1:69" x14ac:dyDescent="0.25">
      <c r="A81" s="3" t="s">
        <v>0</v>
      </c>
      <c r="B81" s="111" t="s">
        <v>1</v>
      </c>
      <c r="C81" s="112"/>
      <c r="D81" s="111" t="s">
        <v>2</v>
      </c>
      <c r="E81" s="112"/>
      <c r="F81" s="111" t="s">
        <v>3</v>
      </c>
      <c r="G81" s="112"/>
      <c r="H81" s="111" t="s">
        <v>295</v>
      </c>
      <c r="I81" s="112"/>
      <c r="J81" s="111" t="s">
        <v>5</v>
      </c>
      <c r="K81" s="112"/>
      <c r="L81" s="111" t="s">
        <v>6</v>
      </c>
      <c r="M81" s="112"/>
      <c r="N81" s="111" t="s">
        <v>7</v>
      </c>
      <c r="O81" s="112"/>
      <c r="P81" s="111" t="s">
        <v>309</v>
      </c>
      <c r="Q81" s="112"/>
      <c r="R81" s="111" t="s">
        <v>9</v>
      </c>
      <c r="S81" s="112"/>
      <c r="T81" s="111" t="s">
        <v>10</v>
      </c>
      <c r="U81" s="112"/>
      <c r="V81" s="111" t="s">
        <v>11</v>
      </c>
      <c r="W81" s="112"/>
      <c r="X81" s="111" t="s">
        <v>12</v>
      </c>
      <c r="Y81" s="112"/>
      <c r="Z81" s="111" t="s">
        <v>13</v>
      </c>
      <c r="AA81" s="112"/>
      <c r="AB81" s="111" t="s">
        <v>14</v>
      </c>
      <c r="AC81" s="112"/>
      <c r="AD81" s="111" t="s">
        <v>15</v>
      </c>
      <c r="AE81" s="112"/>
      <c r="AF81" s="111" t="s">
        <v>16</v>
      </c>
      <c r="AG81" s="112"/>
      <c r="AH81" s="111" t="s">
        <v>17</v>
      </c>
      <c r="AI81" s="112"/>
      <c r="AJ81" s="111" t="s">
        <v>18</v>
      </c>
      <c r="AK81" s="112"/>
      <c r="AL81" s="111" t="s">
        <v>293</v>
      </c>
      <c r="AM81" s="112"/>
      <c r="AN81" s="111" t="s">
        <v>19</v>
      </c>
      <c r="AO81" s="112"/>
      <c r="AP81" s="111" t="s">
        <v>20</v>
      </c>
      <c r="AQ81" s="112"/>
      <c r="AR81" s="111" t="s">
        <v>21</v>
      </c>
      <c r="AS81" s="112"/>
      <c r="AT81" s="111" t="s">
        <v>22</v>
      </c>
      <c r="AU81" s="112"/>
      <c r="AV81" s="111" t="s">
        <v>23</v>
      </c>
      <c r="AW81" s="112"/>
      <c r="AX81" s="111" t="s">
        <v>24</v>
      </c>
      <c r="AY81" s="112"/>
      <c r="AZ81" s="111" t="s">
        <v>25</v>
      </c>
      <c r="BA81" s="112"/>
      <c r="BB81" s="111" t="s">
        <v>26</v>
      </c>
      <c r="BC81" s="112"/>
      <c r="BD81" s="111" t="s">
        <v>27</v>
      </c>
      <c r="BE81" s="112"/>
      <c r="BF81" s="111" t="s">
        <v>28</v>
      </c>
      <c r="BG81" s="112"/>
      <c r="BH81" s="111" t="s">
        <v>29</v>
      </c>
      <c r="BI81" s="112"/>
      <c r="BJ81" s="111" t="s">
        <v>30</v>
      </c>
      <c r="BK81" s="112"/>
      <c r="BL81" s="115" t="s">
        <v>31</v>
      </c>
      <c r="BM81" s="116"/>
      <c r="BN81" s="111" t="s">
        <v>32</v>
      </c>
      <c r="BO81" s="112"/>
      <c r="BP81" s="113" t="s">
        <v>33</v>
      </c>
      <c r="BQ81" s="114"/>
    </row>
    <row r="82" spans="1:69" ht="30" x14ac:dyDescent="0.25">
      <c r="A82" s="3"/>
      <c r="B82" s="66" t="s">
        <v>298</v>
      </c>
      <c r="C82" s="67" t="s">
        <v>299</v>
      </c>
      <c r="D82" s="66" t="s">
        <v>298</v>
      </c>
      <c r="E82" s="67" t="s">
        <v>299</v>
      </c>
      <c r="F82" s="66" t="s">
        <v>298</v>
      </c>
      <c r="G82" s="67" t="s">
        <v>299</v>
      </c>
      <c r="H82" s="66" t="s">
        <v>298</v>
      </c>
      <c r="I82" s="67" t="s">
        <v>299</v>
      </c>
      <c r="J82" s="66" t="s">
        <v>298</v>
      </c>
      <c r="K82" s="67" t="s">
        <v>299</v>
      </c>
      <c r="L82" s="66" t="s">
        <v>298</v>
      </c>
      <c r="M82" s="67" t="s">
        <v>299</v>
      </c>
      <c r="N82" s="66" t="s">
        <v>298</v>
      </c>
      <c r="O82" s="67" t="s">
        <v>299</v>
      </c>
      <c r="P82" s="66" t="s">
        <v>298</v>
      </c>
      <c r="Q82" s="67" t="s">
        <v>299</v>
      </c>
      <c r="R82" s="66" t="s">
        <v>298</v>
      </c>
      <c r="S82" s="67" t="s">
        <v>299</v>
      </c>
      <c r="T82" s="66" t="s">
        <v>298</v>
      </c>
      <c r="U82" s="67" t="s">
        <v>299</v>
      </c>
      <c r="V82" s="66" t="s">
        <v>298</v>
      </c>
      <c r="W82" s="67" t="s">
        <v>299</v>
      </c>
      <c r="X82" s="66" t="s">
        <v>298</v>
      </c>
      <c r="Y82" s="67" t="s">
        <v>299</v>
      </c>
      <c r="Z82" s="66" t="s">
        <v>298</v>
      </c>
      <c r="AA82" s="67" t="s">
        <v>299</v>
      </c>
      <c r="AB82" s="66" t="s">
        <v>298</v>
      </c>
      <c r="AC82" s="67" t="s">
        <v>299</v>
      </c>
      <c r="AD82" s="66" t="s">
        <v>298</v>
      </c>
      <c r="AE82" s="67" t="s">
        <v>299</v>
      </c>
      <c r="AF82" s="66" t="s">
        <v>298</v>
      </c>
      <c r="AG82" s="67" t="s">
        <v>299</v>
      </c>
      <c r="AH82" s="66" t="s">
        <v>298</v>
      </c>
      <c r="AI82" s="67" t="s">
        <v>299</v>
      </c>
      <c r="AJ82" s="66" t="s">
        <v>298</v>
      </c>
      <c r="AK82" s="67" t="s">
        <v>299</v>
      </c>
      <c r="AL82" s="66" t="s">
        <v>298</v>
      </c>
      <c r="AM82" s="67" t="s">
        <v>299</v>
      </c>
      <c r="AN82" s="66" t="s">
        <v>298</v>
      </c>
      <c r="AO82" s="67" t="s">
        <v>299</v>
      </c>
      <c r="AP82" s="66" t="s">
        <v>298</v>
      </c>
      <c r="AQ82" s="67" t="s">
        <v>299</v>
      </c>
      <c r="AR82" s="66" t="s">
        <v>298</v>
      </c>
      <c r="AS82" s="67" t="s">
        <v>299</v>
      </c>
      <c r="AT82" s="66" t="s">
        <v>298</v>
      </c>
      <c r="AU82" s="67" t="s">
        <v>299</v>
      </c>
      <c r="AV82" s="66" t="s">
        <v>298</v>
      </c>
      <c r="AW82" s="67" t="s">
        <v>299</v>
      </c>
      <c r="AX82" s="66" t="s">
        <v>298</v>
      </c>
      <c r="AY82" s="67" t="s">
        <v>299</v>
      </c>
      <c r="AZ82" s="66" t="s">
        <v>298</v>
      </c>
      <c r="BA82" s="67" t="s">
        <v>299</v>
      </c>
      <c r="BB82" s="66" t="s">
        <v>298</v>
      </c>
      <c r="BC82" s="67" t="s">
        <v>299</v>
      </c>
      <c r="BD82" s="66" t="s">
        <v>298</v>
      </c>
      <c r="BE82" s="67" t="s">
        <v>299</v>
      </c>
      <c r="BF82" s="66" t="s">
        <v>298</v>
      </c>
      <c r="BG82" s="67" t="s">
        <v>299</v>
      </c>
      <c r="BH82" s="66" t="s">
        <v>298</v>
      </c>
      <c r="BI82" s="67" t="s">
        <v>299</v>
      </c>
      <c r="BJ82" s="66" t="s">
        <v>298</v>
      </c>
      <c r="BK82" s="67" t="s">
        <v>299</v>
      </c>
      <c r="BL82" s="66" t="s">
        <v>298</v>
      </c>
      <c r="BM82" s="67" t="s">
        <v>299</v>
      </c>
      <c r="BN82" s="66" t="s">
        <v>298</v>
      </c>
      <c r="BO82" s="67" t="s">
        <v>299</v>
      </c>
      <c r="BP82" s="66" t="s">
        <v>298</v>
      </c>
      <c r="BQ82" s="67" t="s">
        <v>299</v>
      </c>
    </row>
    <row r="83" spans="1:69" x14ac:dyDescent="0.25">
      <c r="A83" s="26" t="s">
        <v>240</v>
      </c>
      <c r="B83" s="10"/>
      <c r="C83" s="10"/>
      <c r="D83" s="10"/>
      <c r="E83" s="10"/>
      <c r="F83" s="10"/>
      <c r="G83" s="10"/>
      <c r="H83" s="10"/>
      <c r="I83" s="10"/>
      <c r="J83" s="10">
        <v>60460</v>
      </c>
      <c r="K83" s="10">
        <v>155704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>
        <v>2062</v>
      </c>
      <c r="AA83" s="10">
        <v>132705</v>
      </c>
      <c r="AB83" s="10">
        <v>45579</v>
      </c>
      <c r="AC83" s="10">
        <v>126677</v>
      </c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>
        <v>555640.04200000002</v>
      </c>
      <c r="AQ83" s="10">
        <v>775166.58799999999</v>
      </c>
      <c r="AR83" s="10">
        <v>220705</v>
      </c>
      <c r="AS83" s="10">
        <v>1022400</v>
      </c>
      <c r="AT83" s="10">
        <v>114450</v>
      </c>
      <c r="AU83" s="10">
        <v>214423</v>
      </c>
      <c r="AV83" s="10"/>
      <c r="AW83" s="10"/>
      <c r="AX83" s="10">
        <v>1549</v>
      </c>
      <c r="AY83" s="10">
        <v>1553</v>
      </c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>
        <v>446107</v>
      </c>
      <c r="BM83" s="10">
        <v>565183</v>
      </c>
      <c r="BN83" s="10"/>
      <c r="BO83" s="10"/>
      <c r="BP83" s="82">
        <f t="shared" ref="BP83:BP89" si="14">B83+D83+F83+H83+J83+L83+N83+P83+R83+T83+V83+X83+Z83+AB83+AD83+AF83+AH83+AJ83+AL83+AN83+AP83+AR83+AT83+AV83+AX83+AZ83+BB83+BD83+BF83+BH83+BJ83+BL83+BN83</f>
        <v>1446552.0419999999</v>
      </c>
      <c r="BQ83" s="82">
        <f t="shared" ref="BQ83:BQ89" si="15">C83+E83+G83+I83+K83+M83+O83+Q83+S83+U83+W83+Y83+AA83+AC83+AE83+AG83+AI83+AK83+AM83+AO83+AQ83+AS83+AU83+AW83+AY83+BA83+BC83+BE83+BG83+BI83+BK83+BM83+BO83</f>
        <v>2993811.588</v>
      </c>
    </row>
    <row r="84" spans="1:69" x14ac:dyDescent="0.25">
      <c r="A84" s="10" t="s">
        <v>291</v>
      </c>
      <c r="B84" s="10"/>
      <c r="C84" s="10"/>
      <c r="D84" s="10"/>
      <c r="E84" s="10"/>
      <c r="F84" s="10"/>
      <c r="G84" s="10"/>
      <c r="H84" s="10"/>
      <c r="I84" s="10"/>
      <c r="J84" s="10">
        <v>35946</v>
      </c>
      <c r="K84" s="10">
        <v>120483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>
        <v>5044</v>
      </c>
      <c r="W84" s="10">
        <v>5044</v>
      </c>
      <c r="X84" s="10"/>
      <c r="Y84" s="10"/>
      <c r="Z84" s="10">
        <v>595965</v>
      </c>
      <c r="AA84" s="10">
        <v>595965</v>
      </c>
      <c r="AB84" s="10">
        <v>1737914</v>
      </c>
      <c r="AC84" s="10">
        <v>1737914</v>
      </c>
      <c r="AD84" s="10">
        <v>-634</v>
      </c>
      <c r="AE84" s="10">
        <v>799</v>
      </c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>
        <v>419952.88300000015</v>
      </c>
      <c r="AQ84" s="10">
        <v>1174949.0079999999</v>
      </c>
      <c r="AR84" s="10">
        <v>2487471</v>
      </c>
      <c r="AS84" s="10">
        <v>2487471</v>
      </c>
      <c r="AT84" s="10">
        <v>-148736</v>
      </c>
      <c r="AU84" s="10">
        <v>980789</v>
      </c>
      <c r="AV84" s="10"/>
      <c r="AW84" s="10"/>
      <c r="AX84" s="10">
        <v>8918</v>
      </c>
      <c r="AY84" s="10">
        <v>8918</v>
      </c>
      <c r="AZ84" s="10"/>
      <c r="BA84" s="10"/>
      <c r="BB84" s="10"/>
      <c r="BC84" s="10"/>
      <c r="BD84" s="10">
        <v>155</v>
      </c>
      <c r="BE84" s="10">
        <v>155</v>
      </c>
      <c r="BF84" s="10"/>
      <c r="BG84" s="10"/>
      <c r="BH84" s="10"/>
      <c r="BI84" s="10"/>
      <c r="BJ84" s="10">
        <v>2367</v>
      </c>
      <c r="BK84" s="10">
        <v>2367</v>
      </c>
      <c r="BL84" s="10">
        <v>47403</v>
      </c>
      <c r="BM84" s="10">
        <v>47403</v>
      </c>
      <c r="BN84" s="10"/>
      <c r="BO84" s="10"/>
      <c r="BP84" s="82">
        <f t="shared" si="14"/>
        <v>5191765.8830000004</v>
      </c>
      <c r="BQ84" s="82">
        <f t="shared" si="15"/>
        <v>7162257.0079999994</v>
      </c>
    </row>
    <row r="85" spans="1:69" x14ac:dyDescent="0.25">
      <c r="A85" s="10" t="s">
        <v>290</v>
      </c>
      <c r="B85" s="10"/>
      <c r="C85" s="10"/>
      <c r="D85" s="10"/>
      <c r="E85" s="10"/>
      <c r="F85" s="10"/>
      <c r="G85" s="10"/>
      <c r="H85" s="10"/>
      <c r="I85" s="10"/>
      <c r="J85" s="10"/>
      <c r="K85" s="10">
        <v>29543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>
        <v>1736</v>
      </c>
      <c r="W85" s="10">
        <v>1736</v>
      </c>
      <c r="X85" s="10"/>
      <c r="Y85" s="10"/>
      <c r="Z85" s="10">
        <v>-582858</v>
      </c>
      <c r="AA85" s="10">
        <v>-733900</v>
      </c>
      <c r="AB85" s="10">
        <v>1740694</v>
      </c>
      <c r="AC85" s="10">
        <v>1738809</v>
      </c>
      <c r="AD85" s="10"/>
      <c r="AE85" s="10">
        <v>1958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>
        <v>535116.88400000008</v>
      </c>
      <c r="AR85" s="10">
        <v>2107476</v>
      </c>
      <c r="AS85" s="10">
        <v>2387400</v>
      </c>
      <c r="AT85" s="10">
        <v>0</v>
      </c>
      <c r="AU85" s="10">
        <v>1263245</v>
      </c>
      <c r="AV85" s="10"/>
      <c r="AW85" s="10"/>
      <c r="AX85" s="10">
        <v>10323</v>
      </c>
      <c r="AY85" s="10">
        <v>4326</v>
      </c>
      <c r="AZ85" s="10"/>
      <c r="BA85" s="10"/>
      <c r="BB85" s="10"/>
      <c r="BC85" s="10"/>
      <c r="BD85" s="10">
        <v>152</v>
      </c>
      <c r="BE85" s="10">
        <v>154</v>
      </c>
      <c r="BF85" s="10"/>
      <c r="BG85" s="10"/>
      <c r="BH85" s="10"/>
      <c r="BI85" s="10"/>
      <c r="BJ85" s="10">
        <v>1832</v>
      </c>
      <c r="BK85" s="10">
        <v>2918</v>
      </c>
      <c r="BL85" s="10">
        <v>243513</v>
      </c>
      <c r="BM85" s="10">
        <v>255886</v>
      </c>
      <c r="BN85" s="10"/>
      <c r="BO85" s="10"/>
      <c r="BP85" s="82">
        <f t="shared" si="14"/>
        <v>3522868</v>
      </c>
      <c r="BQ85" s="82">
        <f t="shared" si="15"/>
        <v>5487191.8839999996</v>
      </c>
    </row>
    <row r="86" spans="1:69" x14ac:dyDescent="0.25">
      <c r="A86" s="26" t="s">
        <v>294</v>
      </c>
      <c r="B86" s="10"/>
      <c r="C86" s="10"/>
      <c r="D86" s="10"/>
      <c r="E86" s="10"/>
      <c r="F86" s="10"/>
      <c r="G86" s="10"/>
      <c r="H86" s="10"/>
      <c r="I86" s="10"/>
      <c r="J86" s="10">
        <v>96406</v>
      </c>
      <c r="K86" s="10">
        <v>246644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>
        <v>15169</v>
      </c>
      <c r="AA86" s="10">
        <v>-5230</v>
      </c>
      <c r="AB86" s="10">
        <v>42799</v>
      </c>
      <c r="AC86" s="10">
        <v>125782</v>
      </c>
      <c r="AD86" s="10">
        <v>-634</v>
      </c>
      <c r="AE86" s="10">
        <v>-1159</v>
      </c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>
        <v>600700</v>
      </c>
      <c r="AS86" s="10">
        <v>1122471</v>
      </c>
      <c r="AT86" s="10">
        <v>-34286</v>
      </c>
      <c r="AU86" s="10">
        <v>-68033</v>
      </c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>
        <v>535</v>
      </c>
      <c r="BK86" s="10">
        <v>-551</v>
      </c>
      <c r="BL86" s="10">
        <v>249997</v>
      </c>
      <c r="BM86" s="10">
        <v>356700</v>
      </c>
      <c r="BN86" s="10"/>
      <c r="BO86" s="10"/>
      <c r="BP86" s="82">
        <f t="shared" si="14"/>
        <v>970686</v>
      </c>
      <c r="BQ86" s="82">
        <f t="shared" si="15"/>
        <v>1776624</v>
      </c>
    </row>
    <row r="87" spans="1:69" x14ac:dyDescent="0.25">
      <c r="A87" s="26" t="s">
        <v>288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>
        <v>19349</v>
      </c>
      <c r="AC87" s="10">
        <v>116397</v>
      </c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>
        <v>106716.57</v>
      </c>
      <c r="AQ87" s="10">
        <v>141565.03</v>
      </c>
      <c r="AR87" s="10"/>
      <c r="AS87" s="10"/>
      <c r="AT87" s="10">
        <v>42737</v>
      </c>
      <c r="AU87" s="10">
        <v>1277043</v>
      </c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>
        <v>41735</v>
      </c>
      <c r="BM87" s="10">
        <v>341634</v>
      </c>
      <c r="BN87" s="10"/>
      <c r="BO87" s="10"/>
      <c r="BP87" s="82">
        <f t="shared" si="14"/>
        <v>210537.57</v>
      </c>
      <c r="BQ87" s="82">
        <f t="shared" si="15"/>
        <v>1876639.03</v>
      </c>
    </row>
    <row r="88" spans="1:69" x14ac:dyDescent="0.25">
      <c r="A88" s="26" t="s">
        <v>289</v>
      </c>
      <c r="B88" s="10"/>
      <c r="C88" s="10"/>
      <c r="D88" s="10"/>
      <c r="E88" s="10"/>
      <c r="F88" s="10"/>
      <c r="G88" s="10"/>
      <c r="H88" s="10"/>
      <c r="I88" s="10"/>
      <c r="J88" s="10">
        <v>39827</v>
      </c>
      <c r="K88" s="10">
        <v>93454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>
        <v>574781.06099999999</v>
      </c>
      <c r="AQ88" s="10">
        <v>772715.15</v>
      </c>
      <c r="AR88" s="10"/>
      <c r="AS88" s="10"/>
      <c r="AT88" s="10">
        <v>8508</v>
      </c>
      <c r="AU88" s="10">
        <v>459183</v>
      </c>
      <c r="AV88" s="10"/>
      <c r="AW88" s="10"/>
      <c r="AX88" s="10">
        <v>1546</v>
      </c>
      <c r="AY88" s="10">
        <v>1546</v>
      </c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>
        <v>131478</v>
      </c>
      <c r="BM88" s="10">
        <v>242779</v>
      </c>
      <c r="BN88" s="10"/>
      <c r="BO88" s="10"/>
      <c r="BP88" s="82">
        <f t="shared" si="14"/>
        <v>756140.06099999999</v>
      </c>
      <c r="BQ88" s="82">
        <f t="shared" si="15"/>
        <v>1569677.15</v>
      </c>
    </row>
    <row r="89" spans="1:69" x14ac:dyDescent="0.25">
      <c r="A89" s="26" t="s">
        <v>285</v>
      </c>
      <c r="B89" s="10"/>
      <c r="C89" s="10"/>
      <c r="D89" s="10"/>
      <c r="E89" s="10"/>
      <c r="F89" s="10"/>
      <c r="G89" s="10"/>
      <c r="H89" s="10"/>
      <c r="I89" s="10"/>
      <c r="J89" s="10">
        <v>56579</v>
      </c>
      <c r="K89" s="10">
        <v>153190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>
        <v>3308</v>
      </c>
      <c r="W89" s="10">
        <v>3308</v>
      </c>
      <c r="X89" s="10"/>
      <c r="Y89" s="10"/>
      <c r="Z89" s="10">
        <v>8518</v>
      </c>
      <c r="AA89" s="10">
        <v>-24053</v>
      </c>
      <c r="AB89" s="10">
        <v>26450</v>
      </c>
      <c r="AC89" s="10">
        <v>140678</v>
      </c>
      <c r="AD89" s="10">
        <v>-634</v>
      </c>
      <c r="AE89" s="10">
        <v>-1159</v>
      </c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>
        <v>507528.43400000012</v>
      </c>
      <c r="AQ89" s="10">
        <v>783848.59199999971</v>
      </c>
      <c r="AR89" s="10">
        <v>568613</v>
      </c>
      <c r="AS89" s="10">
        <v>1727237</v>
      </c>
      <c r="AT89" s="10">
        <v>-57</v>
      </c>
      <c r="AU89" s="10">
        <v>749828</v>
      </c>
      <c r="AV89" s="10"/>
      <c r="AW89" s="10"/>
      <c r="AX89" s="10">
        <v>-1402</v>
      </c>
      <c r="AY89" s="10">
        <v>4599</v>
      </c>
      <c r="AZ89" s="10"/>
      <c r="BA89" s="10"/>
      <c r="BB89" s="10"/>
      <c r="BC89" s="10"/>
      <c r="BD89" s="10">
        <v>3</v>
      </c>
      <c r="BE89" s="10">
        <v>1</v>
      </c>
      <c r="BF89" s="10"/>
      <c r="BG89" s="10"/>
      <c r="BH89" s="10"/>
      <c r="BI89" s="10"/>
      <c r="BJ89" s="10">
        <v>535</v>
      </c>
      <c r="BK89" s="10">
        <v>-551</v>
      </c>
      <c r="BL89" s="10">
        <v>160254</v>
      </c>
      <c r="BM89" s="10">
        <v>455555</v>
      </c>
      <c r="BN89" s="10"/>
      <c r="BO89" s="10"/>
      <c r="BP89" s="82">
        <f t="shared" si="14"/>
        <v>1329695.4340000001</v>
      </c>
      <c r="BQ89" s="82">
        <f t="shared" si="15"/>
        <v>3992481.5919999997</v>
      </c>
    </row>
    <row r="90" spans="1:69" x14ac:dyDescent="0.25">
      <c r="A90" s="18"/>
    </row>
    <row r="91" spans="1:69" x14ac:dyDescent="0.25">
      <c r="A91" s="33" t="s">
        <v>296</v>
      </c>
    </row>
    <row r="92" spans="1:69" x14ac:dyDescent="0.25">
      <c r="A92" s="3" t="s">
        <v>0</v>
      </c>
      <c r="B92" s="111" t="s">
        <v>1</v>
      </c>
      <c r="C92" s="112"/>
      <c r="D92" s="111" t="s">
        <v>2</v>
      </c>
      <c r="E92" s="112"/>
      <c r="F92" s="111" t="s">
        <v>3</v>
      </c>
      <c r="G92" s="112"/>
      <c r="H92" s="111" t="s">
        <v>295</v>
      </c>
      <c r="I92" s="112"/>
      <c r="J92" s="111" t="s">
        <v>5</v>
      </c>
      <c r="K92" s="112"/>
      <c r="L92" s="111" t="s">
        <v>6</v>
      </c>
      <c r="M92" s="112"/>
      <c r="N92" s="111" t="s">
        <v>7</v>
      </c>
      <c r="O92" s="112"/>
      <c r="P92" s="111" t="s">
        <v>309</v>
      </c>
      <c r="Q92" s="112"/>
      <c r="R92" s="111" t="s">
        <v>9</v>
      </c>
      <c r="S92" s="112"/>
      <c r="T92" s="111" t="s">
        <v>10</v>
      </c>
      <c r="U92" s="112"/>
      <c r="V92" s="111" t="s">
        <v>11</v>
      </c>
      <c r="W92" s="112"/>
      <c r="X92" s="111" t="s">
        <v>12</v>
      </c>
      <c r="Y92" s="112"/>
      <c r="Z92" s="111" t="s">
        <v>13</v>
      </c>
      <c r="AA92" s="112"/>
      <c r="AB92" s="111" t="s">
        <v>14</v>
      </c>
      <c r="AC92" s="112"/>
      <c r="AD92" s="111" t="s">
        <v>15</v>
      </c>
      <c r="AE92" s="112"/>
      <c r="AF92" s="111" t="s">
        <v>16</v>
      </c>
      <c r="AG92" s="112"/>
      <c r="AH92" s="111" t="s">
        <v>17</v>
      </c>
      <c r="AI92" s="112"/>
      <c r="AJ92" s="111" t="s">
        <v>18</v>
      </c>
      <c r="AK92" s="112"/>
      <c r="AL92" s="111" t="s">
        <v>293</v>
      </c>
      <c r="AM92" s="112"/>
      <c r="AN92" s="111" t="s">
        <v>19</v>
      </c>
      <c r="AO92" s="112"/>
      <c r="AP92" s="111" t="s">
        <v>20</v>
      </c>
      <c r="AQ92" s="112"/>
      <c r="AR92" s="111" t="s">
        <v>21</v>
      </c>
      <c r="AS92" s="112"/>
      <c r="AT92" s="111" t="s">
        <v>22</v>
      </c>
      <c r="AU92" s="112"/>
      <c r="AV92" s="111" t="s">
        <v>23</v>
      </c>
      <c r="AW92" s="112"/>
      <c r="AX92" s="111" t="s">
        <v>24</v>
      </c>
      <c r="AY92" s="112"/>
      <c r="AZ92" s="111" t="s">
        <v>25</v>
      </c>
      <c r="BA92" s="112"/>
      <c r="BB92" s="111" t="s">
        <v>26</v>
      </c>
      <c r="BC92" s="112"/>
      <c r="BD92" s="111" t="s">
        <v>27</v>
      </c>
      <c r="BE92" s="112"/>
      <c r="BF92" s="111" t="s">
        <v>28</v>
      </c>
      <c r="BG92" s="112"/>
      <c r="BH92" s="111" t="s">
        <v>29</v>
      </c>
      <c r="BI92" s="112"/>
      <c r="BJ92" s="111" t="s">
        <v>30</v>
      </c>
      <c r="BK92" s="112"/>
      <c r="BL92" s="115" t="s">
        <v>31</v>
      </c>
      <c r="BM92" s="116"/>
      <c r="BN92" s="111" t="s">
        <v>32</v>
      </c>
      <c r="BO92" s="112"/>
      <c r="BP92" s="113" t="s">
        <v>33</v>
      </c>
      <c r="BQ92" s="114"/>
    </row>
    <row r="93" spans="1:69" ht="30" x14ac:dyDescent="0.25">
      <c r="A93" s="3"/>
      <c r="B93" s="66" t="s">
        <v>298</v>
      </c>
      <c r="C93" s="67" t="s">
        <v>299</v>
      </c>
      <c r="D93" s="66" t="s">
        <v>298</v>
      </c>
      <c r="E93" s="67" t="s">
        <v>299</v>
      </c>
      <c r="F93" s="66" t="s">
        <v>298</v>
      </c>
      <c r="G93" s="67" t="s">
        <v>299</v>
      </c>
      <c r="H93" s="66" t="s">
        <v>298</v>
      </c>
      <c r="I93" s="67" t="s">
        <v>299</v>
      </c>
      <c r="J93" s="66" t="s">
        <v>298</v>
      </c>
      <c r="K93" s="67" t="s">
        <v>299</v>
      </c>
      <c r="L93" s="66" t="s">
        <v>298</v>
      </c>
      <c r="M93" s="67" t="s">
        <v>299</v>
      </c>
      <c r="N93" s="66" t="s">
        <v>298</v>
      </c>
      <c r="O93" s="67" t="s">
        <v>299</v>
      </c>
      <c r="P93" s="66" t="s">
        <v>298</v>
      </c>
      <c r="Q93" s="67" t="s">
        <v>299</v>
      </c>
      <c r="R93" s="66" t="s">
        <v>298</v>
      </c>
      <c r="S93" s="67" t="s">
        <v>299</v>
      </c>
      <c r="T93" s="66" t="s">
        <v>298</v>
      </c>
      <c r="U93" s="67" t="s">
        <v>299</v>
      </c>
      <c r="V93" s="66" t="s">
        <v>298</v>
      </c>
      <c r="W93" s="67" t="s">
        <v>299</v>
      </c>
      <c r="X93" s="66" t="s">
        <v>298</v>
      </c>
      <c r="Y93" s="67" t="s">
        <v>299</v>
      </c>
      <c r="Z93" s="66" t="s">
        <v>298</v>
      </c>
      <c r="AA93" s="67" t="s">
        <v>299</v>
      </c>
      <c r="AB93" s="66" t="s">
        <v>298</v>
      </c>
      <c r="AC93" s="67" t="s">
        <v>299</v>
      </c>
      <c r="AD93" s="66" t="s">
        <v>298</v>
      </c>
      <c r="AE93" s="67" t="s">
        <v>299</v>
      </c>
      <c r="AF93" s="66" t="s">
        <v>298</v>
      </c>
      <c r="AG93" s="67" t="s">
        <v>299</v>
      </c>
      <c r="AH93" s="66" t="s">
        <v>298</v>
      </c>
      <c r="AI93" s="67" t="s">
        <v>299</v>
      </c>
      <c r="AJ93" s="66" t="s">
        <v>298</v>
      </c>
      <c r="AK93" s="67" t="s">
        <v>299</v>
      </c>
      <c r="AL93" s="66" t="s">
        <v>298</v>
      </c>
      <c r="AM93" s="67" t="s">
        <v>299</v>
      </c>
      <c r="AN93" s="66" t="s">
        <v>298</v>
      </c>
      <c r="AO93" s="67" t="s">
        <v>299</v>
      </c>
      <c r="AP93" s="66" t="s">
        <v>298</v>
      </c>
      <c r="AQ93" s="67" t="s">
        <v>299</v>
      </c>
      <c r="AR93" s="66" t="s">
        <v>298</v>
      </c>
      <c r="AS93" s="67" t="s">
        <v>299</v>
      </c>
      <c r="AT93" s="66" t="s">
        <v>298</v>
      </c>
      <c r="AU93" s="67" t="s">
        <v>299</v>
      </c>
      <c r="AV93" s="66" t="s">
        <v>298</v>
      </c>
      <c r="AW93" s="67" t="s">
        <v>299</v>
      </c>
      <c r="AX93" s="66" t="s">
        <v>298</v>
      </c>
      <c r="AY93" s="67" t="s">
        <v>299</v>
      </c>
      <c r="AZ93" s="66" t="s">
        <v>298</v>
      </c>
      <c r="BA93" s="67" t="s">
        <v>299</v>
      </c>
      <c r="BB93" s="66" t="s">
        <v>298</v>
      </c>
      <c r="BC93" s="67" t="s">
        <v>299</v>
      </c>
      <c r="BD93" s="66" t="s">
        <v>298</v>
      </c>
      <c r="BE93" s="67" t="s">
        <v>299</v>
      </c>
      <c r="BF93" s="66" t="s">
        <v>298</v>
      </c>
      <c r="BG93" s="67" t="s">
        <v>299</v>
      </c>
      <c r="BH93" s="66" t="s">
        <v>298</v>
      </c>
      <c r="BI93" s="67" t="s">
        <v>299</v>
      </c>
      <c r="BJ93" s="66" t="s">
        <v>298</v>
      </c>
      <c r="BK93" s="67" t="s">
        <v>299</v>
      </c>
      <c r="BL93" s="66" t="s">
        <v>298</v>
      </c>
      <c r="BM93" s="67" t="s">
        <v>299</v>
      </c>
      <c r="BN93" s="66" t="s">
        <v>298</v>
      </c>
      <c r="BO93" s="67" t="s">
        <v>299</v>
      </c>
      <c r="BP93" s="66" t="s">
        <v>298</v>
      </c>
      <c r="BQ93" s="67" t="s">
        <v>299</v>
      </c>
    </row>
    <row r="94" spans="1:69" x14ac:dyDescent="0.25">
      <c r="A94" s="26" t="s">
        <v>240</v>
      </c>
      <c r="B94" s="10"/>
      <c r="C94" s="10"/>
      <c r="D94" s="10"/>
      <c r="E94" s="10"/>
      <c r="F94" s="10"/>
      <c r="G94" s="10"/>
      <c r="H94" s="10"/>
      <c r="I94" s="10"/>
      <c r="J94" s="10">
        <v>5145103</v>
      </c>
      <c r="K94" s="10">
        <v>17922628</v>
      </c>
      <c r="L94" s="10">
        <v>83882</v>
      </c>
      <c r="M94" s="10">
        <v>1998806</v>
      </c>
      <c r="N94" s="10">
        <v>988948</v>
      </c>
      <c r="O94" s="10">
        <v>6393682</v>
      </c>
      <c r="P94" s="10"/>
      <c r="Q94" s="10"/>
      <c r="R94" s="10"/>
      <c r="S94" s="10"/>
      <c r="T94" s="10"/>
      <c r="U94" s="10"/>
      <c r="V94" s="10">
        <v>1702804</v>
      </c>
      <c r="W94" s="10">
        <v>3568733</v>
      </c>
      <c r="X94" s="10"/>
      <c r="Y94" s="10"/>
      <c r="Z94" s="10">
        <v>3427284</v>
      </c>
      <c r="AA94" s="10">
        <v>8579875</v>
      </c>
      <c r="AB94" s="10">
        <v>882214</v>
      </c>
      <c r="AC94" s="10">
        <v>6592466</v>
      </c>
      <c r="AD94" s="10">
        <v>1197698</v>
      </c>
      <c r="AE94" s="10">
        <v>9294418</v>
      </c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10310093.528999999</v>
      </c>
      <c r="AQ94" s="10">
        <v>12309964.012</v>
      </c>
      <c r="AR94" s="10">
        <v>5207270</v>
      </c>
      <c r="AS94" s="10">
        <v>20339846</v>
      </c>
      <c r="AT94" s="10"/>
      <c r="AU94" s="10"/>
      <c r="AV94" s="10"/>
      <c r="AW94" s="10"/>
      <c r="AX94" s="10">
        <v>232169</v>
      </c>
      <c r="AY94" s="10">
        <v>5195962</v>
      </c>
      <c r="AZ94" s="10"/>
      <c r="BA94" s="10"/>
      <c r="BB94" s="10">
        <v>13465</v>
      </c>
      <c r="BC94" s="10">
        <v>2534467</v>
      </c>
      <c r="BD94" s="10">
        <v>2039326</v>
      </c>
      <c r="BE94" s="10">
        <v>12648183</v>
      </c>
      <c r="BF94" s="10"/>
      <c r="BG94" s="10"/>
      <c r="BH94" s="10"/>
      <c r="BI94" s="10"/>
      <c r="BJ94" s="10"/>
      <c r="BK94" s="10"/>
      <c r="BL94" s="10">
        <v>1547198</v>
      </c>
      <c r="BM94" s="10">
        <v>19285077</v>
      </c>
      <c r="BN94" s="10">
        <v>1853839</v>
      </c>
      <c r="BO94" s="10">
        <v>6621735</v>
      </c>
      <c r="BP94" s="82">
        <f t="shared" ref="BP94:BP100" si="16">B94+D94+F94+H94+J94+L94+N94+P94+R94+T94+V94+X94+Z94+AB94+AD94+AF94+AH94+AJ94+AL94+AN94+AP94+AR94+AT94+AV94+AX94+AZ94+BB94+BD94+BF94+BH94+BJ94+BL94+BN94</f>
        <v>34631293.528999999</v>
      </c>
      <c r="BQ94" s="82">
        <f t="shared" ref="BQ94:BQ100" si="17">C94+E94+G94+I94+K94+M94+O94+Q94+S94+U94+W94+Y94+AA94+AC94+AE94+AG94+AI94+AK94+AM94+AO94+AQ94+AS94+AU94+AW94+AY94+BA94+BC94+BE94+BG94+BI94+BK94+BM94+BO94</f>
        <v>133285842.01199999</v>
      </c>
    </row>
    <row r="95" spans="1:69" x14ac:dyDescent="0.25">
      <c r="A95" s="10" t="s">
        <v>291</v>
      </c>
      <c r="B95" s="10"/>
      <c r="C95" s="10"/>
      <c r="D95" s="10"/>
      <c r="E95" s="10"/>
      <c r="F95" s="10"/>
      <c r="G95" s="10"/>
      <c r="H95" s="10"/>
      <c r="I95" s="10"/>
      <c r="J95" s="10">
        <v>-1173191</v>
      </c>
      <c r="K95" s="10">
        <v>4068249</v>
      </c>
      <c r="L95" s="10">
        <v>-41731</v>
      </c>
      <c r="M95" s="10">
        <v>803691</v>
      </c>
      <c r="N95" s="10">
        <v>129700</v>
      </c>
      <c r="O95" s="10">
        <v>129700</v>
      </c>
      <c r="P95" s="10"/>
      <c r="Q95" s="10"/>
      <c r="R95" s="10"/>
      <c r="S95" s="10"/>
      <c r="T95" s="10"/>
      <c r="U95" s="10"/>
      <c r="V95" s="10">
        <v>1394901</v>
      </c>
      <c r="W95" s="10">
        <v>1394901</v>
      </c>
      <c r="X95" s="10">
        <v>-70041</v>
      </c>
      <c r="Y95" s="10">
        <v>538343</v>
      </c>
      <c r="Z95" s="10">
        <v>20128282</v>
      </c>
      <c r="AA95" s="10">
        <v>20128282</v>
      </c>
      <c r="AB95" s="10">
        <v>25289446</v>
      </c>
      <c r="AC95" s="10">
        <v>25289446</v>
      </c>
      <c r="AD95" s="10">
        <v>944635</v>
      </c>
      <c r="AE95" s="10">
        <v>4264428</v>
      </c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>
        <v>652907.82400000095</v>
      </c>
      <c r="AQ95" s="10">
        <v>6232122.1330000013</v>
      </c>
      <c r="AR95" s="10">
        <v>29806877</v>
      </c>
      <c r="AS95" s="10">
        <v>29806877</v>
      </c>
      <c r="AT95" s="10"/>
      <c r="AU95" s="10"/>
      <c r="AV95" s="10"/>
      <c r="AW95" s="10"/>
      <c r="AX95" s="10">
        <v>3524092</v>
      </c>
      <c r="AY95" s="10">
        <v>3524092</v>
      </c>
      <c r="AZ95" s="10"/>
      <c r="BA95" s="10"/>
      <c r="BB95" s="10">
        <v>-303750</v>
      </c>
      <c r="BC95" s="10">
        <v>4501393</v>
      </c>
      <c r="BD95" s="10">
        <v>5472842</v>
      </c>
      <c r="BE95" s="10">
        <v>5472842</v>
      </c>
      <c r="BF95" s="10"/>
      <c r="BG95" s="10"/>
      <c r="BH95" s="10"/>
      <c r="BI95" s="10"/>
      <c r="BJ95" s="10"/>
      <c r="BK95" s="10"/>
      <c r="BL95" s="10">
        <v>4419288</v>
      </c>
      <c r="BM95" s="10">
        <v>4419288</v>
      </c>
      <c r="BN95" s="10">
        <v>-971666</v>
      </c>
      <c r="BO95" s="10">
        <v>869827</v>
      </c>
      <c r="BP95" s="82">
        <f t="shared" si="16"/>
        <v>89202591.824000001</v>
      </c>
      <c r="BQ95" s="82">
        <f t="shared" si="17"/>
        <v>111443481.133</v>
      </c>
    </row>
    <row r="96" spans="1:69" x14ac:dyDescent="0.25">
      <c r="A96" s="10" t="s">
        <v>290</v>
      </c>
      <c r="B96" s="10"/>
      <c r="C96" s="10"/>
      <c r="D96" s="10"/>
      <c r="E96" s="10"/>
      <c r="F96" s="10"/>
      <c r="G96" s="10"/>
      <c r="H96" s="10"/>
      <c r="I96" s="10"/>
      <c r="J96" s="10"/>
      <c r="K96" s="10">
        <v>3430695</v>
      </c>
      <c r="L96" s="10"/>
      <c r="M96" s="10">
        <v>662025</v>
      </c>
      <c r="N96" s="10">
        <v>93744</v>
      </c>
      <c r="O96" s="10">
        <v>811132</v>
      </c>
      <c r="P96" s="10"/>
      <c r="Q96" s="10"/>
      <c r="R96" s="10"/>
      <c r="S96" s="10"/>
      <c r="T96" s="10"/>
      <c r="U96" s="10"/>
      <c r="V96" s="10">
        <v>1464793</v>
      </c>
      <c r="W96" s="10">
        <v>536685</v>
      </c>
      <c r="X96" s="10"/>
      <c r="Y96" s="10">
        <v>1119199</v>
      </c>
      <c r="Z96" s="10">
        <v>-20196302</v>
      </c>
      <c r="AA96" s="10">
        <v>-12818385</v>
      </c>
      <c r="AB96" s="10">
        <v>26566425</v>
      </c>
      <c r="AC96" s="10">
        <v>30522632</v>
      </c>
      <c r="AD96" s="10"/>
      <c r="AE96" s="10">
        <v>1844523</v>
      </c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>
        <v>4112275.7600000007</v>
      </c>
      <c r="AR96" s="10">
        <v>29605885</v>
      </c>
      <c r="AS96" s="10">
        <v>17471733</v>
      </c>
      <c r="AT96" s="10"/>
      <c r="AU96" s="10"/>
      <c r="AV96" s="10"/>
      <c r="AW96" s="10"/>
      <c r="AX96" s="10">
        <v>2378313</v>
      </c>
      <c r="AY96" s="10">
        <v>1690965</v>
      </c>
      <c r="AZ96" s="10"/>
      <c r="BA96" s="10"/>
      <c r="BB96" s="10"/>
      <c r="BC96" s="10">
        <v>-2635345</v>
      </c>
      <c r="BD96" s="10">
        <v>5926684</v>
      </c>
      <c r="BE96" s="10">
        <v>2774511</v>
      </c>
      <c r="BF96" s="10"/>
      <c r="BG96" s="10"/>
      <c r="BH96" s="10"/>
      <c r="BI96" s="10"/>
      <c r="BJ96" s="10"/>
      <c r="BK96" s="10"/>
      <c r="BL96" s="10">
        <v>3936748</v>
      </c>
      <c r="BM96" s="10">
        <v>2200204</v>
      </c>
      <c r="BN96" s="10"/>
      <c r="BO96" s="10">
        <v>1210328</v>
      </c>
      <c r="BP96" s="82">
        <f t="shared" si="16"/>
        <v>49776290</v>
      </c>
      <c r="BQ96" s="82">
        <f t="shared" si="17"/>
        <v>52933177.760000005</v>
      </c>
    </row>
    <row r="97" spans="1:69" x14ac:dyDescent="0.25">
      <c r="A97" s="26" t="s">
        <v>294</v>
      </c>
      <c r="B97" s="10"/>
      <c r="C97" s="10"/>
      <c r="D97" s="10"/>
      <c r="E97" s="10"/>
      <c r="F97" s="10"/>
      <c r="G97" s="10"/>
      <c r="H97" s="10"/>
      <c r="I97" s="10"/>
      <c r="J97" s="10">
        <v>3971912</v>
      </c>
      <c r="K97" s="10">
        <v>18560182</v>
      </c>
      <c r="L97" s="10"/>
      <c r="M97" s="10"/>
      <c r="N97" s="10">
        <v>1024904</v>
      </c>
      <c r="O97" s="10">
        <v>5712250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>
        <v>3359264</v>
      </c>
      <c r="AA97" s="10">
        <v>15889772</v>
      </c>
      <c r="AB97" s="10">
        <v>-394766</v>
      </c>
      <c r="AC97" s="10">
        <v>1359280</v>
      </c>
      <c r="AD97" s="10">
        <v>2142333</v>
      </c>
      <c r="AE97" s="10">
        <v>11714323</v>
      </c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>
        <v>5408262</v>
      </c>
      <c r="AS97" s="10">
        <v>32674989</v>
      </c>
      <c r="AT97" s="10"/>
      <c r="AU97" s="10"/>
      <c r="AV97" s="10"/>
      <c r="AW97" s="10"/>
      <c r="AX97" s="10"/>
      <c r="AY97" s="10"/>
      <c r="AZ97" s="10"/>
      <c r="BA97" s="10"/>
      <c r="BB97" s="10">
        <v>-290285</v>
      </c>
      <c r="BC97" s="10">
        <v>4400515</v>
      </c>
      <c r="BD97" s="10"/>
      <c r="BE97" s="10"/>
      <c r="BF97" s="10"/>
      <c r="BG97" s="10"/>
      <c r="BH97" s="10"/>
      <c r="BI97" s="10"/>
      <c r="BJ97" s="10"/>
      <c r="BK97" s="10"/>
      <c r="BL97" s="10">
        <v>2029738</v>
      </c>
      <c r="BM97" s="10">
        <v>21504161</v>
      </c>
      <c r="BN97" s="10">
        <v>882173</v>
      </c>
      <c r="BO97" s="10">
        <v>6281234</v>
      </c>
      <c r="BP97" s="82">
        <f t="shared" si="16"/>
        <v>18133535</v>
      </c>
      <c r="BQ97" s="82">
        <f t="shared" si="17"/>
        <v>118096706</v>
      </c>
    </row>
    <row r="98" spans="1:69" x14ac:dyDescent="0.25">
      <c r="A98" s="26" t="s">
        <v>288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>
        <v>365452</v>
      </c>
      <c r="Y98" s="10">
        <v>1733727</v>
      </c>
      <c r="Z98" s="10"/>
      <c r="AA98" s="10"/>
      <c r="AB98" s="10"/>
      <c r="AC98" s="10">
        <v>92</v>
      </c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>
        <v>0</v>
      </c>
      <c r="BM98" s="10">
        <v>17238</v>
      </c>
      <c r="BN98" s="10"/>
      <c r="BO98" s="10"/>
      <c r="BP98" s="82">
        <f t="shared" si="16"/>
        <v>365452</v>
      </c>
      <c r="BQ98" s="82">
        <f t="shared" si="17"/>
        <v>1751057</v>
      </c>
    </row>
    <row r="99" spans="1:69" x14ac:dyDescent="0.25">
      <c r="A99" s="26" t="s">
        <v>289</v>
      </c>
      <c r="B99" s="10"/>
      <c r="C99" s="10"/>
      <c r="D99" s="10"/>
      <c r="E99" s="10"/>
      <c r="F99" s="10"/>
      <c r="G99" s="10"/>
      <c r="H99" s="10"/>
      <c r="I99" s="10"/>
      <c r="J99" s="10">
        <v>4073518</v>
      </c>
      <c r="K99" s="10">
        <v>13617246</v>
      </c>
      <c r="L99" s="10">
        <v>66446</v>
      </c>
      <c r="M99" s="10">
        <v>1592849</v>
      </c>
      <c r="N99" s="10">
        <v>992506</v>
      </c>
      <c r="O99" s="10">
        <v>5582338</v>
      </c>
      <c r="P99" s="10"/>
      <c r="Q99" s="10"/>
      <c r="R99" s="10"/>
      <c r="S99" s="10"/>
      <c r="T99" s="10"/>
      <c r="U99" s="10"/>
      <c r="V99" s="10">
        <v>1314635</v>
      </c>
      <c r="W99" s="10">
        <v>2759942</v>
      </c>
      <c r="X99" s="10">
        <v>171101</v>
      </c>
      <c r="Y99" s="10">
        <v>776631</v>
      </c>
      <c r="Z99" s="10"/>
      <c r="AA99" s="10"/>
      <c r="AB99" s="10"/>
      <c r="AC99" s="10"/>
      <c r="AD99" s="10">
        <v>1263038</v>
      </c>
      <c r="AE99" s="10">
        <v>7692289</v>
      </c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>
        <v>7138917.7240000004</v>
      </c>
      <c r="AQ99" s="10">
        <v>7954457.9170000004</v>
      </c>
      <c r="AR99" s="10"/>
      <c r="AS99" s="10"/>
      <c r="AT99" s="10"/>
      <c r="AU99" s="10"/>
      <c r="AV99" s="10"/>
      <c r="AW99" s="10"/>
      <c r="AX99" s="10">
        <v>176497</v>
      </c>
      <c r="AY99" s="10">
        <v>3781134</v>
      </c>
      <c r="AZ99" s="10"/>
      <c r="BA99" s="10"/>
      <c r="BB99" s="10"/>
      <c r="BC99" s="10"/>
      <c r="BD99" s="10">
        <v>1501746</v>
      </c>
      <c r="BE99" s="10">
        <v>9797791</v>
      </c>
      <c r="BF99" s="10"/>
      <c r="BG99" s="10"/>
      <c r="BH99" s="10"/>
      <c r="BI99" s="10"/>
      <c r="BJ99" s="10"/>
      <c r="BK99" s="10"/>
      <c r="BL99" s="10">
        <v>1352316</v>
      </c>
      <c r="BM99" s="10">
        <v>15243767</v>
      </c>
      <c r="BN99" s="10">
        <v>1504873</v>
      </c>
      <c r="BO99" s="10">
        <v>5177165</v>
      </c>
      <c r="BP99" s="82">
        <f t="shared" si="16"/>
        <v>19555593.723999999</v>
      </c>
      <c r="BQ99" s="82">
        <f t="shared" si="17"/>
        <v>73975609.916999996</v>
      </c>
    </row>
    <row r="100" spans="1:69" x14ac:dyDescent="0.25">
      <c r="A100" s="26" t="s">
        <v>285</v>
      </c>
      <c r="B100" s="10"/>
      <c r="C100" s="10"/>
      <c r="D100" s="10"/>
      <c r="E100" s="10"/>
      <c r="F100" s="10"/>
      <c r="G100" s="10"/>
      <c r="H100" s="10"/>
      <c r="I100" s="10"/>
      <c r="J100" s="10">
        <v>-101606</v>
      </c>
      <c r="K100" s="10">
        <v>4942936</v>
      </c>
      <c r="L100" s="10">
        <v>-24295</v>
      </c>
      <c r="M100" s="10">
        <v>547623</v>
      </c>
      <c r="N100" s="10">
        <v>32398</v>
      </c>
      <c r="O100" s="10">
        <v>129912</v>
      </c>
      <c r="P100" s="10"/>
      <c r="Q100" s="10"/>
      <c r="R100" s="10"/>
      <c r="S100" s="10"/>
      <c r="T100" s="10"/>
      <c r="U100" s="10"/>
      <c r="V100" s="10">
        <v>318276</v>
      </c>
      <c r="W100" s="10">
        <v>1667007</v>
      </c>
      <c r="X100" s="10">
        <v>124310</v>
      </c>
      <c r="Y100" s="10">
        <v>376240</v>
      </c>
      <c r="Z100" s="10">
        <v>700031</v>
      </c>
      <c r="AA100" s="10">
        <v>3273562</v>
      </c>
      <c r="AB100" s="10">
        <v>-159558</v>
      </c>
      <c r="AC100" s="10">
        <v>19143</v>
      </c>
      <c r="AD100" s="10">
        <v>879295</v>
      </c>
      <c r="AE100" s="10">
        <v>4022034</v>
      </c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>
        <v>3824083.6289999997</v>
      </c>
      <c r="AQ100" s="10">
        <v>6475352.4679999994</v>
      </c>
      <c r="AR100" s="10">
        <v>2797135</v>
      </c>
      <c r="AS100" s="10">
        <v>6851725</v>
      </c>
      <c r="AT100" s="10"/>
      <c r="AU100" s="10"/>
      <c r="AV100" s="10"/>
      <c r="AW100" s="10"/>
      <c r="AX100" s="10">
        <v>1201449</v>
      </c>
      <c r="AY100" s="10">
        <v>3247955</v>
      </c>
      <c r="AZ100" s="10"/>
      <c r="BA100" s="10"/>
      <c r="BB100" s="10">
        <v>-3444</v>
      </c>
      <c r="BC100" s="10">
        <v>1173535</v>
      </c>
      <c r="BD100" s="10">
        <v>83738</v>
      </c>
      <c r="BE100" s="10">
        <v>5548723</v>
      </c>
      <c r="BF100" s="10"/>
      <c r="BG100" s="10"/>
      <c r="BH100" s="10"/>
      <c r="BI100" s="10"/>
      <c r="BJ100" s="10"/>
      <c r="BK100" s="10"/>
      <c r="BL100" s="10">
        <v>677422</v>
      </c>
      <c r="BM100" s="10">
        <v>6277632</v>
      </c>
      <c r="BN100" s="10">
        <v>-622700</v>
      </c>
      <c r="BO100" s="10">
        <v>1104069</v>
      </c>
      <c r="BP100" s="82">
        <f t="shared" si="16"/>
        <v>9726534.6290000007</v>
      </c>
      <c r="BQ100" s="82">
        <f t="shared" si="17"/>
        <v>45657448.467999995</v>
      </c>
    </row>
    <row r="101" spans="1:69" x14ac:dyDescent="0.25">
      <c r="A101" s="34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4"/>
      <c r="BQ101" s="94"/>
    </row>
    <row r="102" spans="1:69" x14ac:dyDescent="0.25">
      <c r="A102" s="33" t="s">
        <v>236</v>
      </c>
    </row>
    <row r="103" spans="1:69" x14ac:dyDescent="0.25">
      <c r="A103" s="3" t="s">
        <v>0</v>
      </c>
      <c r="B103" s="111" t="s">
        <v>1</v>
      </c>
      <c r="C103" s="112"/>
      <c r="D103" s="111" t="s">
        <v>2</v>
      </c>
      <c r="E103" s="112"/>
      <c r="F103" s="111" t="s">
        <v>3</v>
      </c>
      <c r="G103" s="112"/>
      <c r="H103" s="111" t="s">
        <v>295</v>
      </c>
      <c r="I103" s="112"/>
      <c r="J103" s="111" t="s">
        <v>5</v>
      </c>
      <c r="K103" s="112"/>
      <c r="L103" s="111" t="s">
        <v>6</v>
      </c>
      <c r="M103" s="112"/>
      <c r="N103" s="111" t="s">
        <v>7</v>
      </c>
      <c r="O103" s="112"/>
      <c r="P103" s="111" t="s">
        <v>309</v>
      </c>
      <c r="Q103" s="112"/>
      <c r="R103" s="111" t="s">
        <v>9</v>
      </c>
      <c r="S103" s="112"/>
      <c r="T103" s="111" t="s">
        <v>10</v>
      </c>
      <c r="U103" s="112"/>
      <c r="V103" s="111" t="s">
        <v>11</v>
      </c>
      <c r="W103" s="112"/>
      <c r="X103" s="111" t="s">
        <v>12</v>
      </c>
      <c r="Y103" s="112"/>
      <c r="Z103" s="111" t="s">
        <v>13</v>
      </c>
      <c r="AA103" s="112"/>
      <c r="AB103" s="111" t="s">
        <v>14</v>
      </c>
      <c r="AC103" s="112"/>
      <c r="AD103" s="111" t="s">
        <v>15</v>
      </c>
      <c r="AE103" s="112"/>
      <c r="AF103" s="111" t="s">
        <v>16</v>
      </c>
      <c r="AG103" s="112"/>
      <c r="AH103" s="111" t="s">
        <v>17</v>
      </c>
      <c r="AI103" s="112"/>
      <c r="AJ103" s="111" t="s">
        <v>18</v>
      </c>
      <c r="AK103" s="112"/>
      <c r="AL103" s="111" t="s">
        <v>293</v>
      </c>
      <c r="AM103" s="112"/>
      <c r="AN103" s="111" t="s">
        <v>19</v>
      </c>
      <c r="AO103" s="112"/>
      <c r="AP103" s="111" t="s">
        <v>20</v>
      </c>
      <c r="AQ103" s="112"/>
      <c r="AR103" s="111" t="s">
        <v>21</v>
      </c>
      <c r="AS103" s="112"/>
      <c r="AT103" s="111" t="s">
        <v>22</v>
      </c>
      <c r="AU103" s="112"/>
      <c r="AV103" s="111" t="s">
        <v>23</v>
      </c>
      <c r="AW103" s="112"/>
      <c r="AX103" s="111" t="s">
        <v>24</v>
      </c>
      <c r="AY103" s="112"/>
      <c r="AZ103" s="111" t="s">
        <v>25</v>
      </c>
      <c r="BA103" s="112"/>
      <c r="BB103" s="111" t="s">
        <v>26</v>
      </c>
      <c r="BC103" s="112"/>
      <c r="BD103" s="111" t="s">
        <v>27</v>
      </c>
      <c r="BE103" s="112"/>
      <c r="BF103" s="111" t="s">
        <v>28</v>
      </c>
      <c r="BG103" s="112"/>
      <c r="BH103" s="111" t="s">
        <v>29</v>
      </c>
      <c r="BI103" s="112"/>
      <c r="BJ103" s="111" t="s">
        <v>30</v>
      </c>
      <c r="BK103" s="112"/>
      <c r="BL103" s="115" t="s">
        <v>31</v>
      </c>
      <c r="BM103" s="116"/>
      <c r="BN103" s="111" t="s">
        <v>32</v>
      </c>
      <c r="BO103" s="112"/>
      <c r="BP103" s="113" t="s">
        <v>33</v>
      </c>
      <c r="BQ103" s="114"/>
    </row>
    <row r="104" spans="1:69" ht="30" x14ac:dyDescent="0.25">
      <c r="A104" s="3"/>
      <c r="B104" s="66" t="s">
        <v>298</v>
      </c>
      <c r="C104" s="67" t="s">
        <v>299</v>
      </c>
      <c r="D104" s="66" t="s">
        <v>298</v>
      </c>
      <c r="E104" s="67" t="s">
        <v>299</v>
      </c>
      <c r="F104" s="66" t="s">
        <v>298</v>
      </c>
      <c r="G104" s="67" t="s">
        <v>299</v>
      </c>
      <c r="H104" s="66" t="s">
        <v>298</v>
      </c>
      <c r="I104" s="67" t="s">
        <v>299</v>
      </c>
      <c r="J104" s="66" t="s">
        <v>298</v>
      </c>
      <c r="K104" s="67" t="s">
        <v>299</v>
      </c>
      <c r="L104" s="66" t="s">
        <v>298</v>
      </c>
      <c r="M104" s="67" t="s">
        <v>299</v>
      </c>
      <c r="N104" s="66" t="s">
        <v>298</v>
      </c>
      <c r="O104" s="67" t="s">
        <v>299</v>
      </c>
      <c r="P104" s="66" t="s">
        <v>298</v>
      </c>
      <c r="Q104" s="67" t="s">
        <v>299</v>
      </c>
      <c r="R104" s="66" t="s">
        <v>298</v>
      </c>
      <c r="S104" s="67" t="s">
        <v>299</v>
      </c>
      <c r="T104" s="66" t="s">
        <v>298</v>
      </c>
      <c r="U104" s="67" t="s">
        <v>299</v>
      </c>
      <c r="V104" s="66" t="s">
        <v>298</v>
      </c>
      <c r="W104" s="67" t="s">
        <v>299</v>
      </c>
      <c r="X104" s="66" t="s">
        <v>298</v>
      </c>
      <c r="Y104" s="67" t="s">
        <v>299</v>
      </c>
      <c r="Z104" s="66" t="s">
        <v>298</v>
      </c>
      <c r="AA104" s="67" t="s">
        <v>299</v>
      </c>
      <c r="AB104" s="66" t="s">
        <v>298</v>
      </c>
      <c r="AC104" s="67" t="s">
        <v>299</v>
      </c>
      <c r="AD104" s="66" t="s">
        <v>298</v>
      </c>
      <c r="AE104" s="67" t="s">
        <v>299</v>
      </c>
      <c r="AF104" s="66" t="s">
        <v>298</v>
      </c>
      <c r="AG104" s="67" t="s">
        <v>299</v>
      </c>
      <c r="AH104" s="66" t="s">
        <v>298</v>
      </c>
      <c r="AI104" s="67" t="s">
        <v>299</v>
      </c>
      <c r="AJ104" s="66" t="s">
        <v>298</v>
      </c>
      <c r="AK104" s="67" t="s">
        <v>299</v>
      </c>
      <c r="AL104" s="66" t="s">
        <v>298</v>
      </c>
      <c r="AM104" s="67" t="s">
        <v>299</v>
      </c>
      <c r="AN104" s="66" t="s">
        <v>298</v>
      </c>
      <c r="AO104" s="67" t="s">
        <v>299</v>
      </c>
      <c r="AP104" s="66" t="s">
        <v>298</v>
      </c>
      <c r="AQ104" s="67" t="s">
        <v>299</v>
      </c>
      <c r="AR104" s="66" t="s">
        <v>298</v>
      </c>
      <c r="AS104" s="67" t="s">
        <v>299</v>
      </c>
      <c r="AT104" s="66" t="s">
        <v>298</v>
      </c>
      <c r="AU104" s="67" t="s">
        <v>299</v>
      </c>
      <c r="AV104" s="66" t="s">
        <v>298</v>
      </c>
      <c r="AW104" s="67" t="s">
        <v>299</v>
      </c>
      <c r="AX104" s="66" t="s">
        <v>298</v>
      </c>
      <c r="AY104" s="67" t="s">
        <v>299</v>
      </c>
      <c r="AZ104" s="66" t="s">
        <v>298</v>
      </c>
      <c r="BA104" s="67" t="s">
        <v>299</v>
      </c>
      <c r="BB104" s="66" t="s">
        <v>298</v>
      </c>
      <c r="BC104" s="67" t="s">
        <v>299</v>
      </c>
      <c r="BD104" s="66" t="s">
        <v>298</v>
      </c>
      <c r="BE104" s="67" t="s">
        <v>299</v>
      </c>
      <c r="BF104" s="66" t="s">
        <v>298</v>
      </c>
      <c r="BG104" s="67" t="s">
        <v>299</v>
      </c>
      <c r="BH104" s="66" t="s">
        <v>298</v>
      </c>
      <c r="BI104" s="67" t="s">
        <v>299</v>
      </c>
      <c r="BJ104" s="66" t="s">
        <v>298</v>
      </c>
      <c r="BK104" s="67" t="s">
        <v>299</v>
      </c>
      <c r="BL104" s="66" t="s">
        <v>298</v>
      </c>
      <c r="BM104" s="67" t="s">
        <v>299</v>
      </c>
      <c r="BN104" s="66" t="s">
        <v>298</v>
      </c>
      <c r="BO104" s="67" t="s">
        <v>299</v>
      </c>
      <c r="BP104" s="66" t="s">
        <v>298</v>
      </c>
      <c r="BQ104" s="67" t="s">
        <v>299</v>
      </c>
    </row>
    <row r="105" spans="1:69" x14ac:dyDescent="0.25">
      <c r="A105" s="26" t="s">
        <v>240</v>
      </c>
      <c r="B105" s="10">
        <f>B116-B83-B72-B61-B39-B28-B17-B6-B50-B94</f>
        <v>0</v>
      </c>
      <c r="C105" s="10">
        <f t="shared" ref="C105:BL105" si="18">C116-C83-C72-C61-C39-C28-C17-C6-C50-C94</f>
        <v>0</v>
      </c>
      <c r="D105" s="10">
        <f t="shared" si="18"/>
        <v>0</v>
      </c>
      <c r="E105" s="10">
        <f t="shared" si="18"/>
        <v>0</v>
      </c>
      <c r="F105" s="10">
        <f t="shared" si="18"/>
        <v>31700133</v>
      </c>
      <c r="G105" s="10">
        <f t="shared" si="18"/>
        <v>70961793</v>
      </c>
      <c r="H105" s="10">
        <f t="shared" si="18"/>
        <v>49655</v>
      </c>
      <c r="I105" s="10">
        <f t="shared" si="18"/>
        <v>163935</v>
      </c>
      <c r="J105" s="10">
        <f t="shared" si="18"/>
        <v>842528</v>
      </c>
      <c r="K105" s="10">
        <f t="shared" si="18"/>
        <v>2772299</v>
      </c>
      <c r="L105" s="10">
        <f t="shared" si="18"/>
        <v>26438</v>
      </c>
      <c r="M105" s="10">
        <f t="shared" si="18"/>
        <v>76429</v>
      </c>
      <c r="N105" s="10">
        <f t="shared" si="18"/>
        <v>37891</v>
      </c>
      <c r="O105" s="10">
        <f t="shared" si="18"/>
        <v>141066</v>
      </c>
      <c r="P105" s="10">
        <f t="shared" si="18"/>
        <v>12494</v>
      </c>
      <c r="Q105" s="10">
        <f t="shared" si="18"/>
        <v>17651</v>
      </c>
      <c r="R105" s="10">
        <f t="shared" si="18"/>
        <v>-1</v>
      </c>
      <c r="S105" s="10">
        <f t="shared" si="18"/>
        <v>398</v>
      </c>
      <c r="T105" s="10">
        <f t="shared" si="18"/>
        <v>1097106.95</v>
      </c>
      <c r="U105" s="10">
        <f t="shared" si="18"/>
        <v>4084121.62</v>
      </c>
      <c r="V105" s="10">
        <f t="shared" si="18"/>
        <v>233320</v>
      </c>
      <c r="W105" s="10">
        <f t="shared" si="18"/>
        <v>893960</v>
      </c>
      <c r="X105" s="10">
        <f t="shared" si="18"/>
        <v>12458</v>
      </c>
      <c r="Y105" s="10">
        <f t="shared" si="18"/>
        <v>51959</v>
      </c>
      <c r="Z105" s="10">
        <f t="shared" si="18"/>
        <v>412880</v>
      </c>
      <c r="AA105" s="10">
        <f t="shared" si="18"/>
        <v>1955484</v>
      </c>
      <c r="AB105" s="10">
        <f t="shared" si="18"/>
        <v>859580</v>
      </c>
      <c r="AC105" s="10">
        <f t="shared" si="18"/>
        <v>3160357</v>
      </c>
      <c r="AD105" s="10">
        <f t="shared" si="18"/>
        <v>338239</v>
      </c>
      <c r="AE105" s="10">
        <f t="shared" si="18"/>
        <v>1978134</v>
      </c>
      <c r="AF105" s="10">
        <f t="shared" si="18"/>
        <v>3224</v>
      </c>
      <c r="AG105" s="10">
        <f t="shared" si="18"/>
        <v>6267</v>
      </c>
      <c r="AH105" s="10">
        <f t="shared" si="18"/>
        <v>29795</v>
      </c>
      <c r="AI105" s="10">
        <f t="shared" si="18"/>
        <v>151011</v>
      </c>
      <c r="AJ105" s="10">
        <f t="shared" si="18"/>
        <v>2401</v>
      </c>
      <c r="AK105" s="10">
        <f t="shared" si="18"/>
        <v>9491</v>
      </c>
      <c r="AL105" s="10">
        <f t="shared" si="18"/>
        <v>1</v>
      </c>
      <c r="AM105" s="10">
        <f t="shared" si="18"/>
        <v>0</v>
      </c>
      <c r="AN105" s="10">
        <f t="shared" si="18"/>
        <v>0</v>
      </c>
      <c r="AO105" s="10">
        <f t="shared" si="18"/>
        <v>0</v>
      </c>
      <c r="AP105" s="10">
        <f t="shared" si="18"/>
        <v>674950.90099999681</v>
      </c>
      <c r="AQ105" s="10">
        <f t="shared" si="18"/>
        <v>1660823.4530000035</v>
      </c>
      <c r="AR105" s="10">
        <f t="shared" si="18"/>
        <v>2154905</v>
      </c>
      <c r="AS105" s="10">
        <f t="shared" si="18"/>
        <v>7035926</v>
      </c>
      <c r="AT105" s="10">
        <f t="shared" si="18"/>
        <v>4799438</v>
      </c>
      <c r="AU105" s="10">
        <f t="shared" si="18"/>
        <v>30521887</v>
      </c>
      <c r="AV105" s="10">
        <f t="shared" si="18"/>
        <v>12080</v>
      </c>
      <c r="AW105" s="10">
        <f t="shared" si="18"/>
        <v>51440</v>
      </c>
      <c r="AX105" s="10">
        <f t="shared" si="18"/>
        <v>65340</v>
      </c>
      <c r="AY105" s="10">
        <f t="shared" si="18"/>
        <v>329783</v>
      </c>
      <c r="AZ105" s="10">
        <f t="shared" si="18"/>
        <v>0</v>
      </c>
      <c r="BA105" s="10">
        <f t="shared" si="18"/>
        <v>0</v>
      </c>
      <c r="BB105" s="10">
        <f t="shared" si="18"/>
        <v>63792</v>
      </c>
      <c r="BC105" s="10">
        <f t="shared" si="18"/>
        <v>98547</v>
      </c>
      <c r="BD105" s="10">
        <f t="shared" si="18"/>
        <v>232854</v>
      </c>
      <c r="BE105" s="10">
        <f t="shared" si="18"/>
        <v>418443</v>
      </c>
      <c r="BF105" s="10">
        <f t="shared" si="18"/>
        <v>14588</v>
      </c>
      <c r="BG105" s="10">
        <f t="shared" si="18"/>
        <v>560730</v>
      </c>
      <c r="BH105" s="10">
        <f t="shared" si="18"/>
        <v>10569309</v>
      </c>
      <c r="BI105" s="10">
        <f t="shared" si="18"/>
        <v>38878782</v>
      </c>
      <c r="BJ105" s="10">
        <f t="shared" si="18"/>
        <v>1657052</v>
      </c>
      <c r="BK105" s="10">
        <f t="shared" si="18"/>
        <v>9126540</v>
      </c>
      <c r="BL105" s="10">
        <f t="shared" si="18"/>
        <v>754948</v>
      </c>
      <c r="BM105" s="10">
        <f t="shared" ref="BM105:BO105" si="19">BM116-BM83-BM72-BM61-BM39-BM28-BM17-BM6-BM50-BM94</f>
        <v>3014635</v>
      </c>
      <c r="BN105" s="10">
        <f t="shared" si="19"/>
        <v>26648</v>
      </c>
      <c r="BO105" s="10">
        <f t="shared" si="19"/>
        <v>167254</v>
      </c>
      <c r="BP105" s="82">
        <f t="shared" ref="BP105:BP111" si="20">B105+D105+F105+H105+J105+L105+N105+P105+R105+T105+V105+X105+Z105+AB105+AD105+AF105+AH105+AJ105+AL105+AN105+AP105+AR105+AT105+AV105+AX105+AZ105+BB105+BD105+BF105+BH105+BJ105+BL105+BN105</f>
        <v>56684047.850999996</v>
      </c>
      <c r="BQ105" s="82">
        <f t="shared" ref="BQ105:BQ111" si="21">C105+E105+G105+I105+K105+M105+O105+Q105+S105+U105+W105+Y105+AA105+AC105+AE105+AG105+AI105+AK105+AM105+AO105+AQ105+AS105+AU105+AW105+AY105+BA105+BC105+BE105+BG105+BI105+BK105+BM105+BO105</f>
        <v>178289146.07300001</v>
      </c>
    </row>
    <row r="106" spans="1:69" x14ac:dyDescent="0.25">
      <c r="A106" s="10" t="s">
        <v>291</v>
      </c>
      <c r="B106" s="10">
        <f t="shared" ref="B106:Q111" si="22">B117-B84-B73-B62-B40-B29-B18-B7-B51-B95</f>
        <v>0</v>
      </c>
      <c r="C106" s="10">
        <f t="shared" si="22"/>
        <v>0</v>
      </c>
      <c r="D106" s="10">
        <f t="shared" si="22"/>
        <v>0</v>
      </c>
      <c r="E106" s="10">
        <f t="shared" si="22"/>
        <v>0</v>
      </c>
      <c r="F106" s="10">
        <f t="shared" si="22"/>
        <v>-4178392</v>
      </c>
      <c r="G106" s="10">
        <f t="shared" si="22"/>
        <v>30548700</v>
      </c>
      <c r="H106" s="10">
        <f t="shared" si="22"/>
        <v>140511</v>
      </c>
      <c r="I106" s="10">
        <f t="shared" si="22"/>
        <v>140511</v>
      </c>
      <c r="J106" s="10">
        <f t="shared" si="22"/>
        <v>101357</v>
      </c>
      <c r="K106" s="10">
        <f t="shared" si="22"/>
        <v>1876762</v>
      </c>
      <c r="L106" s="10">
        <f t="shared" si="22"/>
        <v>22639</v>
      </c>
      <c r="M106" s="10">
        <f t="shared" si="22"/>
        <v>210653</v>
      </c>
      <c r="N106" s="10">
        <f t="shared" si="22"/>
        <v>99717</v>
      </c>
      <c r="O106" s="10">
        <f t="shared" si="22"/>
        <v>99717</v>
      </c>
      <c r="P106" s="10">
        <f t="shared" si="22"/>
        <v>7614</v>
      </c>
      <c r="Q106" s="10">
        <f t="shared" si="22"/>
        <v>7614</v>
      </c>
      <c r="R106" s="10">
        <f t="shared" ref="R106:BO106" si="23">R117-R84-R73-R62-R40-R29-R18-R7-R51-R95</f>
        <v>163</v>
      </c>
      <c r="S106" s="10">
        <f t="shared" si="23"/>
        <v>163</v>
      </c>
      <c r="T106" s="10">
        <f t="shared" si="23"/>
        <v>4605184.21</v>
      </c>
      <c r="U106" s="10">
        <f t="shared" si="23"/>
        <v>66741573.270000003</v>
      </c>
      <c r="V106" s="10">
        <f t="shared" si="23"/>
        <v>832311</v>
      </c>
      <c r="W106" s="10">
        <f t="shared" si="23"/>
        <v>832311</v>
      </c>
      <c r="X106" s="10">
        <f t="shared" si="23"/>
        <v>10005</v>
      </c>
      <c r="Y106" s="10">
        <f t="shared" si="23"/>
        <v>17791</v>
      </c>
      <c r="Z106" s="10">
        <f t="shared" si="23"/>
        <v>3095355</v>
      </c>
      <c r="AA106" s="10">
        <f t="shared" si="23"/>
        <v>3095355</v>
      </c>
      <c r="AB106" s="10">
        <f t="shared" si="23"/>
        <v>6985184</v>
      </c>
      <c r="AC106" s="10">
        <f t="shared" si="23"/>
        <v>6985184</v>
      </c>
      <c r="AD106" s="10">
        <f t="shared" si="23"/>
        <v>-29119</v>
      </c>
      <c r="AE106" s="10">
        <f t="shared" si="23"/>
        <v>830046</v>
      </c>
      <c r="AF106" s="10">
        <f t="shared" si="23"/>
        <v>13421</v>
      </c>
      <c r="AG106" s="10">
        <f t="shared" si="23"/>
        <v>13421</v>
      </c>
      <c r="AH106" s="10">
        <f t="shared" si="23"/>
        <v>353723</v>
      </c>
      <c r="AI106" s="10">
        <f t="shared" si="23"/>
        <v>353723</v>
      </c>
      <c r="AJ106" s="10">
        <f t="shared" si="23"/>
        <v>1082255</v>
      </c>
      <c r="AK106" s="10">
        <f t="shared" si="23"/>
        <v>1082255</v>
      </c>
      <c r="AL106" s="10">
        <f t="shared" si="23"/>
        <v>0</v>
      </c>
      <c r="AM106" s="10">
        <f t="shared" si="23"/>
        <v>0</v>
      </c>
      <c r="AN106" s="10">
        <f t="shared" si="23"/>
        <v>0</v>
      </c>
      <c r="AO106" s="10">
        <f t="shared" si="23"/>
        <v>0</v>
      </c>
      <c r="AP106" s="10">
        <f t="shared" si="23"/>
        <v>716765.1774305026</v>
      </c>
      <c r="AQ106" s="10">
        <f t="shared" si="23"/>
        <v>5064039.1619999185</v>
      </c>
      <c r="AR106" s="10">
        <f t="shared" si="23"/>
        <v>10364192</v>
      </c>
      <c r="AS106" s="10">
        <f t="shared" si="23"/>
        <v>10364192</v>
      </c>
      <c r="AT106" s="10">
        <f t="shared" si="23"/>
        <v>5687206</v>
      </c>
      <c r="AU106" s="10">
        <f t="shared" si="23"/>
        <v>31681158</v>
      </c>
      <c r="AV106" s="10">
        <f t="shared" si="23"/>
        <v>54</v>
      </c>
      <c r="AW106" s="10">
        <f t="shared" si="23"/>
        <v>365917</v>
      </c>
      <c r="AX106" s="10">
        <f t="shared" si="23"/>
        <v>482806</v>
      </c>
      <c r="AY106" s="10">
        <f t="shared" si="23"/>
        <v>482806</v>
      </c>
      <c r="AZ106" s="10">
        <f t="shared" si="23"/>
        <v>0</v>
      </c>
      <c r="BA106" s="10">
        <f t="shared" si="23"/>
        <v>0</v>
      </c>
      <c r="BB106" s="10">
        <f t="shared" si="23"/>
        <v>3664</v>
      </c>
      <c r="BC106" s="10">
        <f t="shared" si="23"/>
        <v>145501</v>
      </c>
      <c r="BD106" s="10">
        <f t="shared" si="23"/>
        <v>418656</v>
      </c>
      <c r="BE106" s="10">
        <f t="shared" si="23"/>
        <v>418656</v>
      </c>
      <c r="BF106" s="10">
        <f t="shared" si="23"/>
        <v>155510</v>
      </c>
      <c r="BG106" s="10">
        <f t="shared" si="23"/>
        <v>155510</v>
      </c>
      <c r="BH106" s="10">
        <f t="shared" si="23"/>
        <v>249933</v>
      </c>
      <c r="BI106" s="10">
        <f t="shared" si="23"/>
        <v>5613924</v>
      </c>
      <c r="BJ106" s="10">
        <f t="shared" si="23"/>
        <v>3423599</v>
      </c>
      <c r="BK106" s="10">
        <f t="shared" si="23"/>
        <v>3423599</v>
      </c>
      <c r="BL106" s="10">
        <f t="shared" si="23"/>
        <v>3761837</v>
      </c>
      <c r="BM106" s="10">
        <f t="shared" si="23"/>
        <v>3761837</v>
      </c>
      <c r="BN106" s="10">
        <f t="shared" si="23"/>
        <v>-32502</v>
      </c>
      <c r="BO106" s="10">
        <f t="shared" si="23"/>
        <v>243991</v>
      </c>
      <c r="BP106" s="82">
        <f t="shared" si="20"/>
        <v>38373648.387430504</v>
      </c>
      <c r="BQ106" s="82">
        <f t="shared" si="21"/>
        <v>174556909.43199992</v>
      </c>
    </row>
    <row r="107" spans="1:69" x14ac:dyDescent="0.25">
      <c r="A107" s="10" t="s">
        <v>290</v>
      </c>
      <c r="B107" s="10">
        <f t="shared" si="22"/>
        <v>0</v>
      </c>
      <c r="C107" s="10">
        <f t="shared" si="22"/>
        <v>0</v>
      </c>
      <c r="D107" s="10">
        <f t="shared" si="22"/>
        <v>-1</v>
      </c>
      <c r="E107" s="10">
        <f t="shared" si="22"/>
        <v>0</v>
      </c>
      <c r="F107" s="10">
        <f t="shared" si="22"/>
        <v>0</v>
      </c>
      <c r="G107" s="10">
        <f t="shared" si="22"/>
        <v>27005967</v>
      </c>
      <c r="H107" s="10">
        <f t="shared" si="22"/>
        <v>158362</v>
      </c>
      <c r="I107" s="10">
        <f t="shared" si="22"/>
        <v>139503</v>
      </c>
      <c r="J107" s="10">
        <f t="shared" si="22"/>
        <v>-1</v>
      </c>
      <c r="K107" s="10">
        <f t="shared" si="22"/>
        <v>1548072</v>
      </c>
      <c r="L107" s="10">
        <f t="shared" si="22"/>
        <v>0</v>
      </c>
      <c r="M107" s="10">
        <f t="shared" si="22"/>
        <v>149821</v>
      </c>
      <c r="N107" s="10">
        <f t="shared" si="22"/>
        <v>89983</v>
      </c>
      <c r="O107" s="10">
        <f t="shared" si="22"/>
        <v>77015</v>
      </c>
      <c r="P107" s="10">
        <f t="shared" si="22"/>
        <v>-11931</v>
      </c>
      <c r="Q107" s="10">
        <f t="shared" si="22"/>
        <v>-633</v>
      </c>
      <c r="R107" s="10">
        <f t="shared" ref="R107:BO107" si="24">R118-R85-R74-R63-R41-R30-R19-R8-R52-R96</f>
        <v>106</v>
      </c>
      <c r="S107" s="10">
        <f t="shared" si="24"/>
        <v>342</v>
      </c>
      <c r="T107" s="10">
        <f t="shared" si="24"/>
        <v>0</v>
      </c>
      <c r="U107" s="10">
        <f t="shared" si="24"/>
        <v>58777165.600000001</v>
      </c>
      <c r="V107" s="10">
        <f t="shared" si="24"/>
        <v>753566</v>
      </c>
      <c r="W107" s="10">
        <f t="shared" si="24"/>
        <v>1011544</v>
      </c>
      <c r="X107" s="10">
        <f t="shared" si="24"/>
        <v>-1</v>
      </c>
      <c r="Y107" s="10">
        <f t="shared" si="24"/>
        <v>4771</v>
      </c>
      <c r="Z107" s="10">
        <f t="shared" si="24"/>
        <v>-2280682</v>
      </c>
      <c r="AA107" s="10">
        <f t="shared" si="24"/>
        <v>-2428406</v>
      </c>
      <c r="AB107" s="10">
        <f t="shared" si="24"/>
        <v>6520089</v>
      </c>
      <c r="AC107" s="10">
        <f t="shared" si="24"/>
        <v>6371108</v>
      </c>
      <c r="AD107" s="10">
        <f t="shared" si="24"/>
        <v>0</v>
      </c>
      <c r="AE107" s="10">
        <f t="shared" si="24"/>
        <v>750727</v>
      </c>
      <c r="AF107" s="10">
        <f t="shared" si="24"/>
        <v>13541</v>
      </c>
      <c r="AG107" s="10">
        <f t="shared" si="24"/>
        <v>3939</v>
      </c>
      <c r="AH107" s="10">
        <f t="shared" si="24"/>
        <v>345618</v>
      </c>
      <c r="AI107" s="10">
        <f t="shared" si="24"/>
        <v>293906</v>
      </c>
      <c r="AJ107" s="10">
        <f t="shared" si="24"/>
        <v>-1051662</v>
      </c>
      <c r="AK107" s="10">
        <f t="shared" si="24"/>
        <v>-934337</v>
      </c>
      <c r="AL107" s="10">
        <f t="shared" si="24"/>
        <v>1</v>
      </c>
      <c r="AM107" s="10">
        <f t="shared" si="24"/>
        <v>0</v>
      </c>
      <c r="AN107" s="10">
        <f t="shared" si="24"/>
        <v>0</v>
      </c>
      <c r="AO107" s="10">
        <f t="shared" si="24"/>
        <v>0</v>
      </c>
      <c r="AP107" s="10">
        <f t="shared" si="24"/>
        <v>-1.0000169277191162E-3</v>
      </c>
      <c r="AQ107" s="10">
        <f t="shared" si="24"/>
        <v>4166812.1199999843</v>
      </c>
      <c r="AR107" s="10">
        <f t="shared" si="24"/>
        <v>9690456</v>
      </c>
      <c r="AS107" s="10">
        <f t="shared" si="24"/>
        <v>6462077</v>
      </c>
      <c r="AT107" s="10">
        <f t="shared" si="24"/>
        <v>0</v>
      </c>
      <c r="AU107" s="10">
        <f t="shared" si="24"/>
        <v>29747706</v>
      </c>
      <c r="AV107" s="10">
        <f t="shared" si="24"/>
        <v>0</v>
      </c>
      <c r="AW107" s="10">
        <f t="shared" si="24"/>
        <v>344998</v>
      </c>
      <c r="AX107" s="10">
        <f t="shared" si="24"/>
        <v>440114</v>
      </c>
      <c r="AY107" s="10">
        <f t="shared" si="24"/>
        <v>372092</v>
      </c>
      <c r="AZ107" s="10">
        <f t="shared" si="24"/>
        <v>0</v>
      </c>
      <c r="BA107" s="10">
        <f t="shared" si="24"/>
        <v>0</v>
      </c>
      <c r="BB107" s="10">
        <f t="shared" si="24"/>
        <v>0</v>
      </c>
      <c r="BC107" s="10">
        <f t="shared" si="24"/>
        <v>-80597</v>
      </c>
      <c r="BD107" s="10">
        <f t="shared" si="24"/>
        <v>504323</v>
      </c>
      <c r="BE107" s="10">
        <f t="shared" si="24"/>
        <v>289036</v>
      </c>
      <c r="BF107" s="10">
        <f t="shared" si="24"/>
        <v>160272</v>
      </c>
      <c r="BG107" s="10">
        <f t="shared" si="24"/>
        <v>172466</v>
      </c>
      <c r="BH107" s="10">
        <f t="shared" si="24"/>
        <v>0</v>
      </c>
      <c r="BI107" s="10">
        <f t="shared" si="24"/>
        <v>4056636</v>
      </c>
      <c r="BJ107" s="10">
        <f t="shared" si="24"/>
        <v>4353459</v>
      </c>
      <c r="BK107" s="10">
        <f t="shared" si="24"/>
        <v>5192750</v>
      </c>
      <c r="BL107" s="10">
        <f t="shared" si="24"/>
        <v>4123850</v>
      </c>
      <c r="BM107" s="10">
        <f t="shared" si="24"/>
        <v>3870482</v>
      </c>
      <c r="BN107" s="10">
        <f t="shared" si="24"/>
        <v>0</v>
      </c>
      <c r="BO107" s="10">
        <f t="shared" si="24"/>
        <v>227399</v>
      </c>
      <c r="BP107" s="82">
        <f t="shared" si="20"/>
        <v>23809461.998999983</v>
      </c>
      <c r="BQ107" s="82">
        <f t="shared" si="21"/>
        <v>147592361.71999997</v>
      </c>
    </row>
    <row r="108" spans="1:69" x14ac:dyDescent="0.25">
      <c r="A108" s="26" t="s">
        <v>294</v>
      </c>
      <c r="B108" s="10">
        <f t="shared" si="22"/>
        <v>0</v>
      </c>
      <c r="C108" s="10">
        <f t="shared" si="22"/>
        <v>0</v>
      </c>
      <c r="D108" s="10">
        <f t="shared" si="22"/>
        <v>0</v>
      </c>
      <c r="E108" s="10">
        <f t="shared" si="22"/>
        <v>0</v>
      </c>
      <c r="F108" s="10">
        <f t="shared" si="22"/>
        <v>-11203157</v>
      </c>
      <c r="G108" s="10">
        <f t="shared" si="22"/>
        <v>80172136</v>
      </c>
      <c r="H108" s="10">
        <f t="shared" si="22"/>
        <v>31804</v>
      </c>
      <c r="I108" s="10">
        <f t="shared" si="22"/>
        <v>164943</v>
      </c>
      <c r="J108" s="10">
        <f t="shared" si="22"/>
        <v>943886</v>
      </c>
      <c r="K108" s="10">
        <f t="shared" si="22"/>
        <v>3100989</v>
      </c>
      <c r="L108" s="10">
        <f t="shared" si="22"/>
        <v>0</v>
      </c>
      <c r="M108" s="10">
        <f t="shared" si="22"/>
        <v>0</v>
      </c>
      <c r="N108" s="10">
        <f t="shared" si="22"/>
        <v>47625</v>
      </c>
      <c r="O108" s="10">
        <f t="shared" si="22"/>
        <v>163768</v>
      </c>
      <c r="P108" s="10">
        <f t="shared" si="22"/>
        <v>8177</v>
      </c>
      <c r="Q108" s="10">
        <f t="shared" si="22"/>
        <v>24633</v>
      </c>
      <c r="R108" s="10">
        <f t="shared" ref="R108:BO108" si="25">R119-R86-R75-R64-R42-R31-R20-R9-R53-R97</f>
        <v>56</v>
      </c>
      <c r="S108" s="10">
        <f t="shared" si="25"/>
        <v>219</v>
      </c>
      <c r="T108" s="10">
        <f t="shared" si="25"/>
        <v>0</v>
      </c>
      <c r="U108" s="10">
        <f t="shared" si="25"/>
        <v>0</v>
      </c>
      <c r="V108" s="10">
        <f t="shared" si="25"/>
        <v>0</v>
      </c>
      <c r="W108" s="10">
        <f t="shared" si="25"/>
        <v>0</v>
      </c>
      <c r="X108" s="10">
        <f t="shared" si="25"/>
        <v>0</v>
      </c>
      <c r="Y108" s="10">
        <f t="shared" si="25"/>
        <v>0</v>
      </c>
      <c r="Z108" s="10">
        <f t="shared" si="25"/>
        <v>1227554</v>
      </c>
      <c r="AA108" s="10">
        <f t="shared" si="25"/>
        <v>2622435</v>
      </c>
      <c r="AB108" s="10">
        <f t="shared" si="25"/>
        <v>1324676</v>
      </c>
      <c r="AC108" s="10">
        <f t="shared" si="25"/>
        <v>3774434</v>
      </c>
      <c r="AD108" s="10">
        <f t="shared" si="25"/>
        <v>309120</v>
      </c>
      <c r="AE108" s="10">
        <f t="shared" si="25"/>
        <v>2057453</v>
      </c>
      <c r="AF108" s="10">
        <f t="shared" si="25"/>
        <v>3104</v>
      </c>
      <c r="AG108" s="10">
        <f t="shared" si="25"/>
        <v>15749</v>
      </c>
      <c r="AH108" s="10">
        <f t="shared" si="25"/>
        <v>37899</v>
      </c>
      <c r="AI108" s="10">
        <f t="shared" si="25"/>
        <v>210826</v>
      </c>
      <c r="AJ108" s="10">
        <f t="shared" si="25"/>
        <v>32994</v>
      </c>
      <c r="AK108" s="10">
        <f t="shared" si="25"/>
        <v>157409</v>
      </c>
      <c r="AL108" s="10">
        <f t="shared" si="25"/>
        <v>-1</v>
      </c>
      <c r="AM108" s="10">
        <f t="shared" si="25"/>
        <v>0</v>
      </c>
      <c r="AN108" s="10">
        <f t="shared" si="25"/>
        <v>0</v>
      </c>
      <c r="AO108" s="10">
        <f t="shared" si="25"/>
        <v>-1</v>
      </c>
      <c r="AP108" s="10">
        <f t="shared" si="25"/>
        <v>0</v>
      </c>
      <c r="AQ108" s="10">
        <f t="shared" si="25"/>
        <v>0</v>
      </c>
      <c r="AR108" s="10">
        <f t="shared" si="25"/>
        <v>2828641</v>
      </c>
      <c r="AS108" s="10">
        <f t="shared" si="25"/>
        <v>10938041</v>
      </c>
      <c r="AT108" s="10">
        <f t="shared" si="25"/>
        <v>10486644</v>
      </c>
      <c r="AU108" s="10">
        <f t="shared" si="25"/>
        <v>32455339</v>
      </c>
      <c r="AV108" s="10">
        <f t="shared" si="25"/>
        <v>12136</v>
      </c>
      <c r="AW108" s="10">
        <f t="shared" si="25"/>
        <v>72362</v>
      </c>
      <c r="AX108" s="10">
        <f t="shared" si="25"/>
        <v>0</v>
      </c>
      <c r="AY108" s="10">
        <f t="shared" si="25"/>
        <v>0</v>
      </c>
      <c r="AZ108" s="10">
        <f t="shared" si="25"/>
        <v>0</v>
      </c>
      <c r="BA108" s="10">
        <f t="shared" si="25"/>
        <v>0</v>
      </c>
      <c r="BB108" s="10">
        <f t="shared" si="25"/>
        <v>67456</v>
      </c>
      <c r="BC108" s="10">
        <f t="shared" si="25"/>
        <v>163448</v>
      </c>
      <c r="BD108" s="10">
        <f t="shared" si="25"/>
        <v>0</v>
      </c>
      <c r="BE108" s="10">
        <f t="shared" si="25"/>
        <v>0</v>
      </c>
      <c r="BF108" s="10">
        <f t="shared" si="25"/>
        <v>0</v>
      </c>
      <c r="BG108" s="10">
        <f t="shared" si="25"/>
        <v>0</v>
      </c>
      <c r="BH108" s="10">
        <f t="shared" si="25"/>
        <v>10819242</v>
      </c>
      <c r="BI108" s="10">
        <f t="shared" si="25"/>
        <v>40436070</v>
      </c>
      <c r="BJ108" s="10">
        <f t="shared" si="25"/>
        <v>727192</v>
      </c>
      <c r="BK108" s="10">
        <f t="shared" si="25"/>
        <v>7357389</v>
      </c>
      <c r="BL108" s="10">
        <f t="shared" si="25"/>
        <v>392935</v>
      </c>
      <c r="BM108" s="10">
        <f t="shared" si="25"/>
        <v>2905990</v>
      </c>
      <c r="BN108" s="10">
        <f t="shared" si="25"/>
        <v>-5854</v>
      </c>
      <c r="BO108" s="10">
        <f t="shared" si="25"/>
        <v>183846</v>
      </c>
      <c r="BP108" s="82">
        <f t="shared" si="20"/>
        <v>18092129</v>
      </c>
      <c r="BQ108" s="82">
        <f t="shared" si="21"/>
        <v>186977478</v>
      </c>
    </row>
    <row r="109" spans="1:69" x14ac:dyDescent="0.25">
      <c r="A109" s="26" t="s">
        <v>288</v>
      </c>
      <c r="B109" s="10">
        <f t="shared" si="22"/>
        <v>0</v>
      </c>
      <c r="C109" s="10">
        <f t="shared" si="22"/>
        <v>0</v>
      </c>
      <c r="D109" s="10">
        <f t="shared" si="22"/>
        <v>0</v>
      </c>
      <c r="E109" s="10">
        <f t="shared" si="22"/>
        <v>0</v>
      </c>
      <c r="F109" s="10">
        <f t="shared" si="22"/>
        <v>11213</v>
      </c>
      <c r="G109" s="10">
        <f t="shared" si="22"/>
        <v>-23367</v>
      </c>
      <c r="H109" s="10">
        <f t="shared" si="22"/>
        <v>0</v>
      </c>
      <c r="I109" s="10">
        <f t="shared" si="22"/>
        <v>0</v>
      </c>
      <c r="J109" s="10">
        <f t="shared" si="22"/>
        <v>-13</v>
      </c>
      <c r="K109" s="10">
        <f t="shared" si="22"/>
        <v>0</v>
      </c>
      <c r="L109" s="10">
        <f t="shared" si="22"/>
        <v>0</v>
      </c>
      <c r="M109" s="10">
        <f t="shared" si="22"/>
        <v>0</v>
      </c>
      <c r="N109" s="10">
        <f t="shared" si="22"/>
        <v>0</v>
      </c>
      <c r="O109" s="10">
        <f t="shared" si="22"/>
        <v>0</v>
      </c>
      <c r="P109" s="10">
        <f t="shared" si="22"/>
        <v>0</v>
      </c>
      <c r="Q109" s="10">
        <f t="shared" si="22"/>
        <v>0</v>
      </c>
      <c r="R109" s="10">
        <f t="shared" ref="R109:BO109" si="26">R120-R87-R76-R65-R43-R32-R21-R10-R54-R98</f>
        <v>1</v>
      </c>
      <c r="S109" s="10">
        <f t="shared" si="26"/>
        <v>1</v>
      </c>
      <c r="T109" s="10">
        <f t="shared" si="26"/>
        <v>0</v>
      </c>
      <c r="U109" s="10">
        <f t="shared" si="26"/>
        <v>0</v>
      </c>
      <c r="V109" s="10">
        <f t="shared" si="26"/>
        <v>0</v>
      </c>
      <c r="W109" s="10">
        <f t="shared" si="26"/>
        <v>0</v>
      </c>
      <c r="X109" s="10">
        <f t="shared" si="26"/>
        <v>-1</v>
      </c>
      <c r="Y109" s="10">
        <f t="shared" si="26"/>
        <v>0</v>
      </c>
      <c r="Z109" s="10">
        <f t="shared" si="26"/>
        <v>0</v>
      </c>
      <c r="AA109" s="10">
        <f t="shared" si="26"/>
        <v>0</v>
      </c>
      <c r="AB109" s="10">
        <f t="shared" si="26"/>
        <v>0</v>
      </c>
      <c r="AC109" s="10">
        <f t="shared" si="26"/>
        <v>0</v>
      </c>
      <c r="AD109" s="10">
        <f t="shared" si="26"/>
        <v>0</v>
      </c>
      <c r="AE109" s="10">
        <f t="shared" si="26"/>
        <v>0</v>
      </c>
      <c r="AF109" s="10">
        <f t="shared" si="26"/>
        <v>0</v>
      </c>
      <c r="AG109" s="10">
        <f t="shared" si="26"/>
        <v>0</v>
      </c>
      <c r="AH109" s="10">
        <f t="shared" si="26"/>
        <v>0</v>
      </c>
      <c r="AI109" s="10">
        <f t="shared" si="26"/>
        <v>0</v>
      </c>
      <c r="AJ109" s="10">
        <f t="shared" si="26"/>
        <v>0</v>
      </c>
      <c r="AK109" s="10">
        <f t="shared" si="26"/>
        <v>0</v>
      </c>
      <c r="AL109" s="10">
        <f t="shared" si="26"/>
        <v>0</v>
      </c>
      <c r="AM109" s="10">
        <f t="shared" si="26"/>
        <v>0</v>
      </c>
      <c r="AN109" s="10">
        <f t="shared" si="26"/>
        <v>0</v>
      </c>
      <c r="AO109" s="10">
        <f t="shared" si="26"/>
        <v>0</v>
      </c>
      <c r="AP109" s="10">
        <f t="shared" si="26"/>
        <v>9689.3610000000335</v>
      </c>
      <c r="AQ109" s="10">
        <f t="shared" si="26"/>
        <v>106392.56299999962</v>
      </c>
      <c r="AR109" s="10">
        <f t="shared" si="26"/>
        <v>0</v>
      </c>
      <c r="AS109" s="10">
        <f t="shared" si="26"/>
        <v>0</v>
      </c>
      <c r="AT109" s="10">
        <f t="shared" si="26"/>
        <v>38253</v>
      </c>
      <c r="AU109" s="10">
        <f t="shared" si="26"/>
        <v>425378</v>
      </c>
      <c r="AV109" s="10">
        <f t="shared" si="26"/>
        <v>40</v>
      </c>
      <c r="AW109" s="10">
        <f t="shared" si="26"/>
        <v>2238</v>
      </c>
      <c r="AX109" s="10">
        <f t="shared" si="26"/>
        <v>-1</v>
      </c>
      <c r="AY109" s="10">
        <f t="shared" si="26"/>
        <v>1</v>
      </c>
      <c r="AZ109" s="10">
        <f t="shared" si="26"/>
        <v>0</v>
      </c>
      <c r="BA109" s="10">
        <f t="shared" si="26"/>
        <v>0</v>
      </c>
      <c r="BB109" s="10">
        <f t="shared" si="26"/>
        <v>0</v>
      </c>
      <c r="BC109" s="10">
        <f t="shared" si="26"/>
        <v>0</v>
      </c>
      <c r="BD109" s="10">
        <f t="shared" si="26"/>
        <v>0</v>
      </c>
      <c r="BE109" s="10">
        <f t="shared" si="26"/>
        <v>0</v>
      </c>
      <c r="BF109" s="10">
        <f t="shared" si="26"/>
        <v>0</v>
      </c>
      <c r="BG109" s="10">
        <f t="shared" si="26"/>
        <v>0</v>
      </c>
      <c r="BH109" s="10">
        <f t="shared" si="26"/>
        <v>0</v>
      </c>
      <c r="BI109" s="10">
        <f t="shared" si="26"/>
        <v>0</v>
      </c>
      <c r="BJ109" s="10">
        <f t="shared" si="26"/>
        <v>0</v>
      </c>
      <c r="BK109" s="10">
        <f t="shared" si="26"/>
        <v>0</v>
      </c>
      <c r="BL109" s="10">
        <f t="shared" si="26"/>
        <v>8536</v>
      </c>
      <c r="BM109" s="10">
        <f t="shared" si="26"/>
        <v>60815</v>
      </c>
      <c r="BN109" s="10">
        <f t="shared" si="26"/>
        <v>0</v>
      </c>
      <c r="BO109" s="10">
        <f t="shared" si="26"/>
        <v>0</v>
      </c>
      <c r="BP109" s="82">
        <f t="shared" si="20"/>
        <v>67717.361000000034</v>
      </c>
      <c r="BQ109" s="82">
        <f t="shared" si="21"/>
        <v>571458.56299999962</v>
      </c>
    </row>
    <row r="110" spans="1:69" x14ac:dyDescent="0.25">
      <c r="A110" s="26" t="s">
        <v>289</v>
      </c>
      <c r="B110" s="10">
        <f t="shared" si="22"/>
        <v>0</v>
      </c>
      <c r="C110" s="10">
        <f t="shared" si="22"/>
        <v>0</v>
      </c>
      <c r="D110" s="10">
        <f t="shared" si="22"/>
        <v>-1</v>
      </c>
      <c r="E110" s="10">
        <f t="shared" si="22"/>
        <v>0</v>
      </c>
      <c r="F110" s="10">
        <f t="shared" si="22"/>
        <v>-14947100</v>
      </c>
      <c r="G110" s="10">
        <f t="shared" si="22"/>
        <v>58837887</v>
      </c>
      <c r="H110" s="10">
        <f t="shared" si="22"/>
        <v>2438</v>
      </c>
      <c r="I110" s="10">
        <f t="shared" si="22"/>
        <v>21329</v>
      </c>
      <c r="J110" s="10">
        <f t="shared" si="22"/>
        <v>489749</v>
      </c>
      <c r="K110" s="10">
        <f t="shared" si="22"/>
        <v>1318563</v>
      </c>
      <c r="L110" s="10">
        <f t="shared" si="22"/>
        <v>6828</v>
      </c>
      <c r="M110" s="10">
        <f t="shared" si="22"/>
        <v>18755</v>
      </c>
      <c r="N110" s="10">
        <f t="shared" si="22"/>
        <v>2299</v>
      </c>
      <c r="O110" s="10">
        <f t="shared" si="22"/>
        <v>8346</v>
      </c>
      <c r="P110" s="10">
        <f t="shared" si="22"/>
        <v>0</v>
      </c>
      <c r="Q110" s="10">
        <f t="shared" si="22"/>
        <v>0</v>
      </c>
      <c r="R110" s="10">
        <f t="shared" ref="R110:BO110" si="27">R121-R88-R77-R66-R44-R33-R22-R11-R55-R99</f>
        <v>36</v>
      </c>
      <c r="S110" s="10">
        <f t="shared" si="27"/>
        <v>-263</v>
      </c>
      <c r="T110" s="10">
        <f t="shared" si="27"/>
        <v>311213.89</v>
      </c>
      <c r="U110" s="10">
        <f t="shared" si="27"/>
        <v>1180913.69</v>
      </c>
      <c r="V110" s="10">
        <f t="shared" si="27"/>
        <v>29130</v>
      </c>
      <c r="W110" s="10">
        <f t="shared" si="27"/>
        <v>132893</v>
      </c>
      <c r="X110" s="10">
        <f t="shared" si="27"/>
        <v>632</v>
      </c>
      <c r="Y110" s="10">
        <f t="shared" si="27"/>
        <v>2607</v>
      </c>
      <c r="Z110" s="10">
        <f t="shared" si="27"/>
        <v>0</v>
      </c>
      <c r="AA110" s="10">
        <f t="shared" si="27"/>
        <v>0</v>
      </c>
      <c r="AB110" s="10">
        <f t="shared" si="27"/>
        <v>0</v>
      </c>
      <c r="AC110" s="10">
        <f t="shared" si="27"/>
        <v>0</v>
      </c>
      <c r="AD110" s="10">
        <f t="shared" si="27"/>
        <v>156025</v>
      </c>
      <c r="AE110" s="10">
        <f t="shared" si="27"/>
        <v>1277383</v>
      </c>
      <c r="AF110" s="10">
        <f t="shared" si="27"/>
        <v>1015</v>
      </c>
      <c r="AG110" s="10">
        <f t="shared" si="27"/>
        <v>2095</v>
      </c>
      <c r="AH110" s="10">
        <f t="shared" si="27"/>
        <v>11183</v>
      </c>
      <c r="AI110" s="10">
        <f t="shared" si="27"/>
        <v>33549</v>
      </c>
      <c r="AJ110" s="10">
        <f t="shared" si="27"/>
        <v>0</v>
      </c>
      <c r="AK110" s="10">
        <f t="shared" si="27"/>
        <v>0</v>
      </c>
      <c r="AL110" s="10">
        <f t="shared" si="27"/>
        <v>-1</v>
      </c>
      <c r="AM110" s="10">
        <f t="shared" si="27"/>
        <v>0</v>
      </c>
      <c r="AN110" s="10">
        <f t="shared" si="27"/>
        <v>1</v>
      </c>
      <c r="AO110" s="10">
        <f t="shared" si="27"/>
        <v>0</v>
      </c>
      <c r="AP110" s="10">
        <f t="shared" si="27"/>
        <v>144545.4133439986</v>
      </c>
      <c r="AQ110" s="10">
        <f t="shared" si="27"/>
        <v>153655.64700000267</v>
      </c>
      <c r="AR110" s="10">
        <f t="shared" si="27"/>
        <v>0</v>
      </c>
      <c r="AS110" s="10">
        <f t="shared" si="27"/>
        <v>0</v>
      </c>
      <c r="AT110" s="10">
        <f t="shared" si="27"/>
        <v>5667434</v>
      </c>
      <c r="AU110" s="10">
        <f t="shared" si="27"/>
        <v>22080862</v>
      </c>
      <c r="AV110" s="10">
        <f t="shared" si="27"/>
        <v>735</v>
      </c>
      <c r="AW110" s="10">
        <f t="shared" si="27"/>
        <v>2962</v>
      </c>
      <c r="AX110" s="10">
        <f t="shared" si="27"/>
        <v>9485</v>
      </c>
      <c r="AY110" s="10">
        <f t="shared" si="27"/>
        <v>45779</v>
      </c>
      <c r="AZ110" s="10">
        <f t="shared" si="27"/>
        <v>0</v>
      </c>
      <c r="BA110" s="10">
        <f t="shared" si="27"/>
        <v>0</v>
      </c>
      <c r="BB110" s="10">
        <f t="shared" si="27"/>
        <v>0</v>
      </c>
      <c r="BC110" s="10">
        <f t="shared" si="27"/>
        <v>0</v>
      </c>
      <c r="BD110" s="10">
        <f t="shared" si="27"/>
        <v>72795</v>
      </c>
      <c r="BE110" s="10">
        <f t="shared" si="27"/>
        <v>153475</v>
      </c>
      <c r="BF110" s="10">
        <f t="shared" si="27"/>
        <v>3582</v>
      </c>
      <c r="BG110" s="10">
        <f t="shared" si="27"/>
        <v>508175</v>
      </c>
      <c r="BH110" s="10">
        <f t="shared" si="27"/>
        <v>2528570</v>
      </c>
      <c r="BI110" s="10">
        <f t="shared" si="27"/>
        <v>9561804</v>
      </c>
      <c r="BJ110" s="10">
        <f t="shared" si="27"/>
        <v>945762</v>
      </c>
      <c r="BK110" s="10">
        <f t="shared" si="27"/>
        <v>5057024</v>
      </c>
      <c r="BL110" s="10">
        <f t="shared" si="27"/>
        <v>-240944</v>
      </c>
      <c r="BM110" s="10">
        <f t="shared" si="27"/>
        <v>763174</v>
      </c>
      <c r="BN110" s="10">
        <f t="shared" si="27"/>
        <v>2203</v>
      </c>
      <c r="BO110" s="10">
        <f t="shared" si="27"/>
        <v>37198</v>
      </c>
      <c r="BP110" s="82">
        <f t="shared" si="20"/>
        <v>-4802384.6966559999</v>
      </c>
      <c r="BQ110" s="82">
        <f t="shared" si="21"/>
        <v>101198166.337</v>
      </c>
    </row>
    <row r="111" spans="1:69" x14ac:dyDescent="0.25">
      <c r="A111" s="26" t="s">
        <v>285</v>
      </c>
      <c r="B111" s="10">
        <f t="shared" si="22"/>
        <v>0</v>
      </c>
      <c r="C111" s="10">
        <f t="shared" si="22"/>
        <v>0</v>
      </c>
      <c r="D111" s="10">
        <f t="shared" si="22"/>
        <v>0</v>
      </c>
      <c r="E111" s="10">
        <f t="shared" si="22"/>
        <v>0</v>
      </c>
      <c r="F111" s="10">
        <f t="shared" si="22"/>
        <v>3755156</v>
      </c>
      <c r="G111" s="10">
        <f t="shared" si="22"/>
        <v>21310882</v>
      </c>
      <c r="H111" s="10">
        <f t="shared" si="22"/>
        <v>29366</v>
      </c>
      <c r="I111" s="10">
        <f t="shared" si="22"/>
        <v>143614</v>
      </c>
      <c r="J111" s="10">
        <f t="shared" si="22"/>
        <v>454124</v>
      </c>
      <c r="K111" s="10">
        <f t="shared" si="22"/>
        <v>1782426</v>
      </c>
      <c r="L111" s="10">
        <f t="shared" si="22"/>
        <v>42248</v>
      </c>
      <c r="M111" s="10">
        <f t="shared" si="22"/>
        <v>118506</v>
      </c>
      <c r="N111" s="10">
        <f t="shared" si="22"/>
        <v>45326</v>
      </c>
      <c r="O111" s="10">
        <f t="shared" si="22"/>
        <v>155422</v>
      </c>
      <c r="P111" s="10">
        <f t="shared" si="22"/>
        <v>7769</v>
      </c>
      <c r="Q111" s="10">
        <f t="shared" si="22"/>
        <v>23401</v>
      </c>
      <c r="R111" s="10">
        <f t="shared" ref="R111:BO111" si="28">R122-R89-R78-R67-R45-R34-R23-R12-R56-R100</f>
        <v>21</v>
      </c>
      <c r="S111" s="10">
        <f t="shared" si="28"/>
        <v>483</v>
      </c>
      <c r="T111" s="10">
        <f t="shared" si="28"/>
        <v>5090790.37</v>
      </c>
      <c r="U111" s="10">
        <f t="shared" si="28"/>
        <v>9586203.9900000002</v>
      </c>
      <c r="V111" s="10">
        <f t="shared" si="28"/>
        <v>282940</v>
      </c>
      <c r="W111" s="10">
        <f t="shared" si="28"/>
        <v>581836</v>
      </c>
      <c r="X111" s="10">
        <f t="shared" si="28"/>
        <v>21832</v>
      </c>
      <c r="Y111" s="10">
        <f t="shared" si="28"/>
        <v>62372</v>
      </c>
      <c r="Z111" s="10">
        <f t="shared" si="28"/>
        <v>329179</v>
      </c>
      <c r="AA111" s="10">
        <f t="shared" si="28"/>
        <v>1337308</v>
      </c>
      <c r="AB111" s="10">
        <f t="shared" si="28"/>
        <v>395496</v>
      </c>
      <c r="AC111" s="10">
        <f t="shared" si="28"/>
        <v>1705520</v>
      </c>
      <c r="AD111" s="10">
        <f t="shared" si="28"/>
        <v>153095</v>
      </c>
      <c r="AE111" s="10">
        <f t="shared" si="28"/>
        <v>780070</v>
      </c>
      <c r="AF111" s="10">
        <f t="shared" si="28"/>
        <v>2089</v>
      </c>
      <c r="AG111" s="10">
        <f t="shared" si="28"/>
        <v>13654</v>
      </c>
      <c r="AH111" s="10">
        <f t="shared" si="28"/>
        <v>22355</v>
      </c>
      <c r="AI111" s="10">
        <f t="shared" si="28"/>
        <v>137866</v>
      </c>
      <c r="AJ111" s="10">
        <f t="shared" si="28"/>
        <v>1546</v>
      </c>
      <c r="AK111" s="10">
        <f t="shared" si="28"/>
        <v>11310</v>
      </c>
      <c r="AL111" s="10">
        <f t="shared" si="28"/>
        <v>0</v>
      </c>
      <c r="AM111" s="10">
        <f t="shared" si="28"/>
        <v>0</v>
      </c>
      <c r="AN111" s="10">
        <f t="shared" si="28"/>
        <v>-1</v>
      </c>
      <c r="AO111" s="10">
        <f t="shared" si="28"/>
        <v>0</v>
      </c>
      <c r="AP111" s="10">
        <f t="shared" si="28"/>
        <v>1256858.0260864971</v>
      </c>
      <c r="AQ111" s="10">
        <f t="shared" si="28"/>
        <v>2510788.4109999603</v>
      </c>
      <c r="AR111" s="10">
        <f t="shared" si="28"/>
        <v>2534661</v>
      </c>
      <c r="AS111" s="10">
        <f t="shared" si="28"/>
        <v>8549984</v>
      </c>
      <c r="AT111" s="10">
        <f t="shared" si="28"/>
        <v>4857462</v>
      </c>
      <c r="AU111" s="10">
        <f t="shared" si="28"/>
        <v>10799854</v>
      </c>
      <c r="AV111" s="10">
        <f t="shared" si="28"/>
        <v>11439</v>
      </c>
      <c r="AW111" s="10">
        <f t="shared" si="28"/>
        <v>71637</v>
      </c>
      <c r="AX111" s="10">
        <f t="shared" si="28"/>
        <v>102548</v>
      </c>
      <c r="AY111" s="10">
        <f t="shared" si="28"/>
        <v>394719</v>
      </c>
      <c r="AZ111" s="10">
        <f t="shared" si="28"/>
        <v>0</v>
      </c>
      <c r="BA111" s="10">
        <f t="shared" si="28"/>
        <v>0</v>
      </c>
      <c r="BB111" s="10">
        <f t="shared" si="28"/>
        <v>17939</v>
      </c>
      <c r="BC111" s="10">
        <f t="shared" si="28"/>
        <v>59729</v>
      </c>
      <c r="BD111" s="10">
        <f t="shared" si="28"/>
        <v>74392</v>
      </c>
      <c r="BE111" s="10">
        <f t="shared" si="28"/>
        <v>394588</v>
      </c>
      <c r="BF111" s="10">
        <f t="shared" si="28"/>
        <v>6243</v>
      </c>
      <c r="BG111" s="10">
        <f t="shared" si="28"/>
        <v>35599</v>
      </c>
      <c r="BH111" s="10">
        <f t="shared" si="28"/>
        <v>8290672</v>
      </c>
      <c r="BI111" s="10">
        <f t="shared" si="28"/>
        <v>30874267</v>
      </c>
      <c r="BJ111" s="10">
        <f t="shared" si="28"/>
        <v>-218570</v>
      </c>
      <c r="BK111" s="10">
        <f t="shared" si="28"/>
        <v>2300365</v>
      </c>
      <c r="BL111" s="10">
        <f t="shared" si="28"/>
        <v>642415</v>
      </c>
      <c r="BM111" s="10">
        <f t="shared" si="28"/>
        <v>2203631</v>
      </c>
      <c r="BN111" s="10">
        <f t="shared" si="28"/>
        <v>-8057</v>
      </c>
      <c r="BO111" s="10">
        <f t="shared" si="28"/>
        <v>146648</v>
      </c>
      <c r="BP111" s="82">
        <f t="shared" si="20"/>
        <v>28201333.396086499</v>
      </c>
      <c r="BQ111" s="82">
        <f t="shared" si="21"/>
        <v>96092683.400999963</v>
      </c>
    </row>
    <row r="112" spans="1:69" x14ac:dyDescent="0.25">
      <c r="A112" s="18"/>
    </row>
    <row r="113" spans="1:69" x14ac:dyDescent="0.25">
      <c r="A113" s="33" t="s">
        <v>54</v>
      </c>
    </row>
    <row r="114" spans="1:69" x14ac:dyDescent="0.25">
      <c r="A114" s="3" t="s">
        <v>0</v>
      </c>
      <c r="B114" s="111" t="s">
        <v>1</v>
      </c>
      <c r="C114" s="112"/>
      <c r="D114" s="111" t="s">
        <v>2</v>
      </c>
      <c r="E114" s="112"/>
      <c r="F114" s="111" t="s">
        <v>3</v>
      </c>
      <c r="G114" s="112"/>
      <c r="H114" s="111" t="s">
        <v>295</v>
      </c>
      <c r="I114" s="112"/>
      <c r="J114" s="111" t="s">
        <v>5</v>
      </c>
      <c r="K114" s="112"/>
      <c r="L114" s="111" t="s">
        <v>6</v>
      </c>
      <c r="M114" s="112"/>
      <c r="N114" s="111" t="s">
        <v>7</v>
      </c>
      <c r="O114" s="112"/>
      <c r="P114" s="111" t="s">
        <v>309</v>
      </c>
      <c r="Q114" s="112"/>
      <c r="R114" s="111" t="s">
        <v>9</v>
      </c>
      <c r="S114" s="112"/>
      <c r="T114" s="111" t="s">
        <v>10</v>
      </c>
      <c r="U114" s="112"/>
      <c r="V114" s="111" t="s">
        <v>11</v>
      </c>
      <c r="W114" s="112"/>
      <c r="X114" s="111" t="s">
        <v>12</v>
      </c>
      <c r="Y114" s="112"/>
      <c r="Z114" s="111" t="s">
        <v>13</v>
      </c>
      <c r="AA114" s="112"/>
      <c r="AB114" s="111" t="s">
        <v>14</v>
      </c>
      <c r="AC114" s="112"/>
      <c r="AD114" s="111" t="s">
        <v>15</v>
      </c>
      <c r="AE114" s="112"/>
      <c r="AF114" s="111" t="s">
        <v>16</v>
      </c>
      <c r="AG114" s="112"/>
      <c r="AH114" s="111" t="s">
        <v>17</v>
      </c>
      <c r="AI114" s="112"/>
      <c r="AJ114" s="111" t="s">
        <v>18</v>
      </c>
      <c r="AK114" s="112"/>
      <c r="AL114" s="111" t="s">
        <v>293</v>
      </c>
      <c r="AM114" s="112"/>
      <c r="AN114" s="111" t="s">
        <v>19</v>
      </c>
      <c r="AO114" s="112"/>
      <c r="AP114" s="111" t="s">
        <v>20</v>
      </c>
      <c r="AQ114" s="112"/>
      <c r="AR114" s="111" t="s">
        <v>21</v>
      </c>
      <c r="AS114" s="112"/>
      <c r="AT114" s="111" t="s">
        <v>22</v>
      </c>
      <c r="AU114" s="112"/>
      <c r="AV114" s="111" t="s">
        <v>23</v>
      </c>
      <c r="AW114" s="112"/>
      <c r="AX114" s="111" t="s">
        <v>24</v>
      </c>
      <c r="AY114" s="112"/>
      <c r="AZ114" s="111" t="s">
        <v>25</v>
      </c>
      <c r="BA114" s="112"/>
      <c r="BB114" s="111" t="s">
        <v>26</v>
      </c>
      <c r="BC114" s="112"/>
      <c r="BD114" s="111" t="s">
        <v>27</v>
      </c>
      <c r="BE114" s="112"/>
      <c r="BF114" s="111" t="s">
        <v>28</v>
      </c>
      <c r="BG114" s="112"/>
      <c r="BH114" s="111" t="s">
        <v>29</v>
      </c>
      <c r="BI114" s="112"/>
      <c r="BJ114" s="111" t="s">
        <v>30</v>
      </c>
      <c r="BK114" s="112"/>
      <c r="BL114" s="115" t="s">
        <v>31</v>
      </c>
      <c r="BM114" s="116"/>
      <c r="BN114" s="111" t="s">
        <v>32</v>
      </c>
      <c r="BO114" s="112"/>
      <c r="BP114" s="113" t="s">
        <v>33</v>
      </c>
      <c r="BQ114" s="114"/>
    </row>
    <row r="115" spans="1:69" ht="30" x14ac:dyDescent="0.25">
      <c r="A115" s="3"/>
      <c r="B115" s="66" t="s">
        <v>298</v>
      </c>
      <c r="C115" s="67" t="s">
        <v>299</v>
      </c>
      <c r="D115" s="66" t="s">
        <v>298</v>
      </c>
      <c r="E115" s="67" t="s">
        <v>299</v>
      </c>
      <c r="F115" s="66" t="s">
        <v>298</v>
      </c>
      <c r="G115" s="67" t="s">
        <v>299</v>
      </c>
      <c r="H115" s="66" t="s">
        <v>298</v>
      </c>
      <c r="I115" s="67" t="s">
        <v>299</v>
      </c>
      <c r="J115" s="66" t="s">
        <v>298</v>
      </c>
      <c r="K115" s="67" t="s">
        <v>299</v>
      </c>
      <c r="L115" s="66" t="s">
        <v>298</v>
      </c>
      <c r="M115" s="67" t="s">
        <v>299</v>
      </c>
      <c r="N115" s="66" t="s">
        <v>298</v>
      </c>
      <c r="O115" s="67" t="s">
        <v>299</v>
      </c>
      <c r="P115" s="66" t="s">
        <v>298</v>
      </c>
      <c r="Q115" s="67" t="s">
        <v>299</v>
      </c>
      <c r="R115" s="66" t="s">
        <v>298</v>
      </c>
      <c r="S115" s="67" t="s">
        <v>299</v>
      </c>
      <c r="T115" s="66" t="s">
        <v>298</v>
      </c>
      <c r="U115" s="67" t="s">
        <v>299</v>
      </c>
      <c r="V115" s="66" t="s">
        <v>298</v>
      </c>
      <c r="W115" s="67" t="s">
        <v>299</v>
      </c>
      <c r="X115" s="66" t="s">
        <v>298</v>
      </c>
      <c r="Y115" s="67" t="s">
        <v>299</v>
      </c>
      <c r="Z115" s="66" t="s">
        <v>298</v>
      </c>
      <c r="AA115" s="67" t="s">
        <v>299</v>
      </c>
      <c r="AB115" s="66" t="s">
        <v>298</v>
      </c>
      <c r="AC115" s="67" t="s">
        <v>299</v>
      </c>
      <c r="AD115" s="66" t="s">
        <v>298</v>
      </c>
      <c r="AE115" s="67" t="s">
        <v>299</v>
      </c>
      <c r="AF115" s="66" t="s">
        <v>298</v>
      </c>
      <c r="AG115" s="67" t="s">
        <v>299</v>
      </c>
      <c r="AH115" s="66" t="s">
        <v>298</v>
      </c>
      <c r="AI115" s="67" t="s">
        <v>299</v>
      </c>
      <c r="AJ115" s="66" t="s">
        <v>298</v>
      </c>
      <c r="AK115" s="67" t="s">
        <v>299</v>
      </c>
      <c r="AL115" s="66" t="s">
        <v>298</v>
      </c>
      <c r="AM115" s="67" t="s">
        <v>299</v>
      </c>
      <c r="AN115" s="66" t="s">
        <v>298</v>
      </c>
      <c r="AO115" s="67" t="s">
        <v>299</v>
      </c>
      <c r="AP115" s="66" t="s">
        <v>298</v>
      </c>
      <c r="AQ115" s="67" t="s">
        <v>299</v>
      </c>
      <c r="AR115" s="66" t="s">
        <v>298</v>
      </c>
      <c r="AS115" s="67" t="s">
        <v>299</v>
      </c>
      <c r="AT115" s="66" t="s">
        <v>298</v>
      </c>
      <c r="AU115" s="67" t="s">
        <v>299</v>
      </c>
      <c r="AV115" s="66" t="s">
        <v>298</v>
      </c>
      <c r="AW115" s="67" t="s">
        <v>299</v>
      </c>
      <c r="AX115" s="66" t="s">
        <v>298</v>
      </c>
      <c r="AY115" s="67" t="s">
        <v>299</v>
      </c>
      <c r="AZ115" s="66" t="s">
        <v>298</v>
      </c>
      <c r="BA115" s="67" t="s">
        <v>299</v>
      </c>
      <c r="BB115" s="66" t="s">
        <v>298</v>
      </c>
      <c r="BC115" s="67" t="s">
        <v>299</v>
      </c>
      <c r="BD115" s="66" t="s">
        <v>298</v>
      </c>
      <c r="BE115" s="67" t="s">
        <v>299</v>
      </c>
      <c r="BF115" s="66" t="s">
        <v>298</v>
      </c>
      <c r="BG115" s="67" t="s">
        <v>299</v>
      </c>
      <c r="BH115" s="66" t="s">
        <v>298</v>
      </c>
      <c r="BI115" s="67" t="s">
        <v>299</v>
      </c>
      <c r="BJ115" s="66" t="s">
        <v>298</v>
      </c>
      <c r="BK115" s="67" t="s">
        <v>299</v>
      </c>
      <c r="BL115" s="66" t="s">
        <v>298</v>
      </c>
      <c r="BM115" s="67" t="s">
        <v>299</v>
      </c>
      <c r="BN115" s="66" t="s">
        <v>298</v>
      </c>
      <c r="BO115" s="67" t="s">
        <v>299</v>
      </c>
      <c r="BP115" s="66" t="s">
        <v>298</v>
      </c>
      <c r="BQ115" s="67" t="s">
        <v>299</v>
      </c>
    </row>
    <row r="116" spans="1:69" x14ac:dyDescent="0.25">
      <c r="A116" s="26" t="s">
        <v>240</v>
      </c>
      <c r="B116" s="10">
        <v>302421</v>
      </c>
      <c r="C116" s="10">
        <v>1117498</v>
      </c>
      <c r="D116" s="10">
        <v>787448</v>
      </c>
      <c r="E116" s="10">
        <v>2980211</v>
      </c>
      <c r="F116" s="10">
        <v>31700133</v>
      </c>
      <c r="G116" s="10">
        <v>70961793</v>
      </c>
      <c r="H116" s="10">
        <v>4366187</v>
      </c>
      <c r="I116" s="10">
        <v>15729439</v>
      </c>
      <c r="J116" s="10">
        <v>18045159</v>
      </c>
      <c r="K116" s="10">
        <v>67369249</v>
      </c>
      <c r="L116" s="10">
        <v>3654855</v>
      </c>
      <c r="M116" s="10">
        <v>13894044</v>
      </c>
      <c r="N116" s="10">
        <v>5545774</v>
      </c>
      <c r="O116" s="10">
        <v>23697369</v>
      </c>
      <c r="P116" s="10">
        <v>116873</v>
      </c>
      <c r="Q116" s="10">
        <v>416325</v>
      </c>
      <c r="R116" s="10">
        <v>223742</v>
      </c>
      <c r="S116" s="10">
        <v>625575</v>
      </c>
      <c r="T116" s="10">
        <v>1097106.95</v>
      </c>
      <c r="U116" s="10">
        <v>4084121.62</v>
      </c>
      <c r="V116" s="10">
        <v>4811095</v>
      </c>
      <c r="W116" s="10">
        <v>14827549</v>
      </c>
      <c r="X116" s="10">
        <v>799554</v>
      </c>
      <c r="Y116" s="10">
        <v>2655799</v>
      </c>
      <c r="Z116" s="10">
        <v>12529621</v>
      </c>
      <c r="AA116" s="10">
        <v>41916831</v>
      </c>
      <c r="AB116" s="10">
        <v>18726564</v>
      </c>
      <c r="AC116" s="10">
        <v>73394587</v>
      </c>
      <c r="AD116" s="10">
        <v>12893442</v>
      </c>
      <c r="AE116" s="10">
        <v>48794607</v>
      </c>
      <c r="AF116" s="10">
        <v>370661</v>
      </c>
      <c r="AG116" s="10">
        <v>1148830</v>
      </c>
      <c r="AH116" s="10">
        <v>1872785</v>
      </c>
      <c r="AI116" s="10">
        <v>6439700</v>
      </c>
      <c r="AJ116" s="10">
        <v>948800</v>
      </c>
      <c r="AK116" s="10">
        <v>3178615</v>
      </c>
      <c r="AL116" s="10">
        <v>834009</v>
      </c>
      <c r="AM116" s="10">
        <v>3106992</v>
      </c>
      <c r="AN116" s="10">
        <v>1412383</v>
      </c>
      <c r="AO116" s="10">
        <v>5009233</v>
      </c>
      <c r="AP116" s="10">
        <v>44199006.752999991</v>
      </c>
      <c r="AQ116" s="10">
        <v>132541868.685</v>
      </c>
      <c r="AR116" s="10">
        <v>58358691</v>
      </c>
      <c r="AS116" s="10">
        <v>215684394</v>
      </c>
      <c r="AT116" s="10">
        <v>30863864</v>
      </c>
      <c r="AU116" s="10">
        <v>123047644</v>
      </c>
      <c r="AV116" s="10">
        <v>60462</v>
      </c>
      <c r="AW116" s="10">
        <v>161537</v>
      </c>
      <c r="AX116" s="10">
        <v>9802002</v>
      </c>
      <c r="AY116" s="10">
        <v>37840181</v>
      </c>
      <c r="AZ116" s="10">
        <v>2788932</v>
      </c>
      <c r="BA116" s="10">
        <v>12697631</v>
      </c>
      <c r="BB116" s="10">
        <v>4927953</v>
      </c>
      <c r="BC116" s="10">
        <v>20304709</v>
      </c>
      <c r="BD116" s="10">
        <v>6674733</v>
      </c>
      <c r="BE116" s="10">
        <v>29153530</v>
      </c>
      <c r="BF116" s="36">
        <v>3316951</v>
      </c>
      <c r="BG116" s="36">
        <v>11452712</v>
      </c>
      <c r="BH116" s="10">
        <v>10569309</v>
      </c>
      <c r="BI116" s="10">
        <v>38878782</v>
      </c>
      <c r="BJ116" s="10">
        <v>10579966</v>
      </c>
      <c r="BK116" s="10">
        <v>38168415</v>
      </c>
      <c r="BL116" s="10">
        <v>37856220</v>
      </c>
      <c r="BM116" s="10">
        <v>139848336</v>
      </c>
      <c r="BN116" s="10">
        <v>3690783</v>
      </c>
      <c r="BO116" s="10">
        <v>12898116</v>
      </c>
      <c r="BP116" s="82">
        <f t="shared" ref="BP116:BP122" si="29">B116+D116+F116+H116+J116+L116+N116+P116+R116+T116+V116+X116+Z116+AB116+AD116+AF116+AH116+AJ116+AL116+AN116+AP116+AR116+AT116+AV116+AX116+AZ116+BB116+BD116+BF116+BH116+BJ116+BL116+BN116</f>
        <v>344727485.70300001</v>
      </c>
      <c r="BQ116" s="82">
        <f t="shared" ref="BQ116:BQ122" si="30">C116+E116+G116+I116+K116+M116+O116+Q116+S116+U116+W116+Y116+AA116+AC116+AE116+AG116+AI116+AK116+AM116+AO116+AQ116+AS116+AU116+AW116+AY116+BA116+BC116+BE116+BG116+BI116+BK116+BM116+BO116</f>
        <v>1214026223.3050001</v>
      </c>
    </row>
    <row r="117" spans="1:69" x14ac:dyDescent="0.25">
      <c r="A117" s="10" t="s">
        <v>291</v>
      </c>
      <c r="B117" s="10">
        <v>664304</v>
      </c>
      <c r="C117" s="10">
        <v>664304</v>
      </c>
      <c r="D117" s="10">
        <v>799265</v>
      </c>
      <c r="E117" s="10">
        <v>799265</v>
      </c>
      <c r="F117" s="10">
        <v>-4178392</v>
      </c>
      <c r="G117" s="10">
        <v>30548700</v>
      </c>
      <c r="H117" s="10">
        <v>2873317</v>
      </c>
      <c r="I117" s="10">
        <v>2873317</v>
      </c>
      <c r="J117" s="10">
        <v>1308222</v>
      </c>
      <c r="K117" s="10">
        <v>83580981</v>
      </c>
      <c r="L117" s="10">
        <v>648373</v>
      </c>
      <c r="M117" s="10">
        <v>23851111</v>
      </c>
      <c r="N117" s="10">
        <v>53480084</v>
      </c>
      <c r="O117" s="10">
        <v>53480084</v>
      </c>
      <c r="P117" s="10">
        <v>854042</v>
      </c>
      <c r="Q117" s="10">
        <v>854042</v>
      </c>
      <c r="R117" s="10">
        <v>493147</v>
      </c>
      <c r="S117" s="10">
        <v>493147</v>
      </c>
      <c r="T117" s="10">
        <v>4605184.21</v>
      </c>
      <c r="U117" s="10">
        <v>66741573.270000003</v>
      </c>
      <c r="V117" s="10">
        <v>21831254</v>
      </c>
      <c r="W117" s="10">
        <v>21831254</v>
      </c>
      <c r="X117" s="10">
        <v>1977243</v>
      </c>
      <c r="Y117" s="10">
        <v>9567801</v>
      </c>
      <c r="Z117" s="10">
        <v>83728631</v>
      </c>
      <c r="AA117" s="10">
        <v>83728631</v>
      </c>
      <c r="AB117" s="10">
        <v>180073743</v>
      </c>
      <c r="AC117" s="10">
        <v>180073743</v>
      </c>
      <c r="AD117" s="10">
        <v>2917126</v>
      </c>
      <c r="AE117" s="10">
        <v>53183426</v>
      </c>
      <c r="AF117" s="10">
        <v>2388665</v>
      </c>
      <c r="AG117" s="10">
        <v>2388665</v>
      </c>
      <c r="AH117" s="10">
        <v>10562318</v>
      </c>
      <c r="AI117" s="10">
        <v>10562318</v>
      </c>
      <c r="AJ117" s="10">
        <v>17972535</v>
      </c>
      <c r="AK117" s="10">
        <v>17972535</v>
      </c>
      <c r="AL117" s="10">
        <v>675384</v>
      </c>
      <c r="AM117" s="10">
        <v>675384</v>
      </c>
      <c r="AN117" s="10">
        <v>1252365</v>
      </c>
      <c r="AO117" s="10">
        <v>1252365</v>
      </c>
      <c r="AP117" s="10">
        <v>9964204.8944305163</v>
      </c>
      <c r="AQ117" s="10">
        <v>178732748.36499995</v>
      </c>
      <c r="AR117" s="10">
        <v>329819744</v>
      </c>
      <c r="AS117" s="10">
        <v>329819744</v>
      </c>
      <c r="AT117" s="10">
        <v>2466392</v>
      </c>
      <c r="AU117" s="10">
        <v>190513482</v>
      </c>
      <c r="AV117" s="10">
        <v>215600</v>
      </c>
      <c r="AW117" s="10">
        <v>2195367</v>
      </c>
      <c r="AX117" s="10">
        <v>56841199</v>
      </c>
      <c r="AY117" s="10">
        <v>56841199</v>
      </c>
      <c r="AZ117" s="10">
        <v>2625521</v>
      </c>
      <c r="BA117" s="10">
        <v>2625521</v>
      </c>
      <c r="BB117" s="10">
        <v>144486</v>
      </c>
      <c r="BC117" s="10">
        <v>42341818</v>
      </c>
      <c r="BD117" s="10">
        <v>29693796</v>
      </c>
      <c r="BE117" s="10">
        <v>29693796</v>
      </c>
      <c r="BF117" s="36">
        <v>62731539</v>
      </c>
      <c r="BG117" s="36">
        <v>62731538</v>
      </c>
      <c r="BH117" s="10">
        <v>249933</v>
      </c>
      <c r="BI117" s="10">
        <v>5613924</v>
      </c>
      <c r="BJ117" s="10">
        <v>53564450</v>
      </c>
      <c r="BK117" s="10">
        <v>53564450</v>
      </c>
      <c r="BL117" s="10">
        <v>212894751</v>
      </c>
      <c r="BM117" s="10">
        <v>212894751</v>
      </c>
      <c r="BN117" s="10">
        <v>-250791</v>
      </c>
      <c r="BO117" s="10">
        <v>12084521</v>
      </c>
      <c r="BP117" s="82">
        <f t="shared" si="29"/>
        <v>1145887635.1044307</v>
      </c>
      <c r="BQ117" s="82">
        <f t="shared" si="30"/>
        <v>1824775505.635</v>
      </c>
    </row>
    <row r="118" spans="1:69" x14ac:dyDescent="0.25">
      <c r="A118" s="10" t="s">
        <v>290</v>
      </c>
      <c r="B118" s="10">
        <v>618162</v>
      </c>
      <c r="C118" s="10">
        <v>216697</v>
      </c>
      <c r="D118" s="10">
        <v>720344</v>
      </c>
      <c r="E118" s="10">
        <v>508957</v>
      </c>
      <c r="F118" s="10"/>
      <c r="G118" s="10">
        <v>27005967</v>
      </c>
      <c r="H118" s="10">
        <v>2875516</v>
      </c>
      <c r="I118" s="10">
        <v>2166984</v>
      </c>
      <c r="J118" s="10">
        <v>-1</v>
      </c>
      <c r="K118" s="10">
        <v>68470433</v>
      </c>
      <c r="L118" s="10"/>
      <c r="M118" s="10">
        <v>20331150</v>
      </c>
      <c r="N118" s="10">
        <v>50656365</v>
      </c>
      <c r="O118" s="10">
        <v>42309554</v>
      </c>
      <c r="P118" s="10">
        <v>-638807</v>
      </c>
      <c r="Q118" s="10">
        <v>-378161</v>
      </c>
      <c r="R118" s="10">
        <v>358332</v>
      </c>
      <c r="S118" s="10">
        <v>329518</v>
      </c>
      <c r="T118" s="10"/>
      <c r="U118" s="10">
        <v>58777165.600000001</v>
      </c>
      <c r="V118" s="10">
        <v>20806597</v>
      </c>
      <c r="W118" s="10">
        <v>19467985</v>
      </c>
      <c r="X118" s="10">
        <v>-1</v>
      </c>
      <c r="Y118" s="10">
        <v>3429034</v>
      </c>
      <c r="Z118" s="10">
        <v>-80099327</v>
      </c>
      <c r="AA118" s="10">
        <v>-61214311</v>
      </c>
      <c r="AB118" s="10">
        <v>176631050</v>
      </c>
      <c r="AC118" s="10">
        <v>164255970</v>
      </c>
      <c r="AD118" s="10"/>
      <c r="AE118" s="10">
        <v>41759996</v>
      </c>
      <c r="AF118" s="10">
        <v>2164879</v>
      </c>
      <c r="AG118" s="10">
        <v>1382650</v>
      </c>
      <c r="AH118" s="10">
        <v>10106315</v>
      </c>
      <c r="AI118" s="10">
        <v>8491010</v>
      </c>
      <c r="AJ118" s="10">
        <v>-16688801</v>
      </c>
      <c r="AK118" s="10">
        <v>-12933748</v>
      </c>
      <c r="AL118" s="10">
        <v>651380</v>
      </c>
      <c r="AM118" s="10">
        <v>503618</v>
      </c>
      <c r="AN118" s="10">
        <v>1409706</v>
      </c>
      <c r="AO118" s="10">
        <v>1132657</v>
      </c>
      <c r="AP118" s="10"/>
      <c r="AQ118" s="10">
        <v>158763727.18899995</v>
      </c>
      <c r="AR118" s="10">
        <v>322503084</v>
      </c>
      <c r="AS118" s="10">
        <v>279856423</v>
      </c>
      <c r="AT118" s="10">
        <v>0</v>
      </c>
      <c r="AU118" s="10">
        <v>177985737</v>
      </c>
      <c r="AV118" s="10"/>
      <c r="AW118" s="10">
        <v>1488355</v>
      </c>
      <c r="AX118" s="10">
        <v>54680876</v>
      </c>
      <c r="AY118" s="10">
        <v>47707437</v>
      </c>
      <c r="AZ118" s="10">
        <v>2412613</v>
      </c>
      <c r="BA118" s="10">
        <v>1647587</v>
      </c>
      <c r="BB118" s="10"/>
      <c r="BC118" s="10">
        <v>-35283992</v>
      </c>
      <c r="BD118" s="10">
        <v>29988325</v>
      </c>
      <c r="BE118" s="10">
        <v>24476341</v>
      </c>
      <c r="BF118" s="36">
        <v>62060704</v>
      </c>
      <c r="BG118" s="36">
        <v>57984357</v>
      </c>
      <c r="BH118" s="10"/>
      <c r="BI118" s="10">
        <v>4056636</v>
      </c>
      <c r="BJ118" s="10">
        <v>50147895</v>
      </c>
      <c r="BK118" s="10">
        <v>40006025</v>
      </c>
      <c r="BL118" s="10">
        <v>209426175</v>
      </c>
      <c r="BM118" s="10">
        <v>182761597</v>
      </c>
      <c r="BN118" s="10"/>
      <c r="BO118" s="10">
        <v>9367098</v>
      </c>
      <c r="BP118" s="82">
        <f t="shared" si="29"/>
        <v>900791381</v>
      </c>
      <c r="BQ118" s="82">
        <f t="shared" si="30"/>
        <v>1336830453.789</v>
      </c>
    </row>
    <row r="119" spans="1:69" x14ac:dyDescent="0.25">
      <c r="A119" s="26" t="s">
        <v>294</v>
      </c>
      <c r="B119" s="10"/>
      <c r="C119" s="10"/>
      <c r="D119" s="10"/>
      <c r="E119" s="10"/>
      <c r="F119" s="10">
        <v>-11203157</v>
      </c>
      <c r="G119" s="10">
        <v>80172136</v>
      </c>
      <c r="H119" s="10">
        <v>4363988</v>
      </c>
      <c r="I119" s="10">
        <v>16435772</v>
      </c>
      <c r="J119" s="10">
        <v>19353382</v>
      </c>
      <c r="K119" s="10">
        <v>82479797</v>
      </c>
      <c r="L119" s="10"/>
      <c r="M119" s="10"/>
      <c r="N119" s="10">
        <v>8369493</v>
      </c>
      <c r="O119" s="10">
        <v>34867899</v>
      </c>
      <c r="P119" s="10">
        <v>332108</v>
      </c>
      <c r="Q119" s="10">
        <v>892206</v>
      </c>
      <c r="R119" s="10">
        <v>358557</v>
      </c>
      <c r="S119" s="10">
        <v>789204</v>
      </c>
      <c r="T119" s="10"/>
      <c r="U119" s="10"/>
      <c r="V119" s="10"/>
      <c r="W119" s="10"/>
      <c r="X119" s="10"/>
      <c r="Y119" s="10"/>
      <c r="Z119" s="10">
        <v>16158925</v>
      </c>
      <c r="AA119" s="10">
        <v>64431151</v>
      </c>
      <c r="AB119" s="10">
        <v>22169257</v>
      </c>
      <c r="AC119" s="10">
        <v>89212360</v>
      </c>
      <c r="AD119" s="10">
        <v>15810568</v>
      </c>
      <c r="AE119" s="10">
        <v>60218037</v>
      </c>
      <c r="AF119" s="10">
        <v>594447</v>
      </c>
      <c r="AG119" s="10">
        <v>2154845</v>
      </c>
      <c r="AH119" s="10">
        <v>2328788</v>
      </c>
      <c r="AI119" s="10">
        <v>8511008</v>
      </c>
      <c r="AJ119" s="10">
        <v>2232534</v>
      </c>
      <c r="AK119" s="10">
        <v>8217402</v>
      </c>
      <c r="AL119" s="10">
        <v>858013</v>
      </c>
      <c r="AM119" s="10">
        <v>3278758</v>
      </c>
      <c r="AN119" s="10">
        <v>1255041</v>
      </c>
      <c r="AO119" s="10">
        <v>5128940</v>
      </c>
      <c r="AP119" s="10"/>
      <c r="AQ119" s="10"/>
      <c r="AR119" s="10">
        <v>65675351</v>
      </c>
      <c r="AS119" s="10">
        <v>265647714</v>
      </c>
      <c r="AT119" s="10">
        <v>33330256</v>
      </c>
      <c r="AU119" s="10">
        <v>135575390</v>
      </c>
      <c r="AV119" s="10">
        <v>276062</v>
      </c>
      <c r="AW119" s="10">
        <v>868550</v>
      </c>
      <c r="AX119" s="10"/>
      <c r="AY119" s="10"/>
      <c r="AZ119" s="10">
        <v>3001840</v>
      </c>
      <c r="BA119" s="10">
        <v>13675565</v>
      </c>
      <c r="BB119" s="10">
        <v>5072439</v>
      </c>
      <c r="BC119" s="10">
        <v>27362535</v>
      </c>
      <c r="BD119" s="10"/>
      <c r="BE119" s="10"/>
      <c r="BF119" s="10"/>
      <c r="BG119" s="10"/>
      <c r="BH119" s="10">
        <v>10819242</v>
      </c>
      <c r="BI119" s="10">
        <v>40436070</v>
      </c>
      <c r="BJ119" s="10">
        <v>13996521</v>
      </c>
      <c r="BK119" s="10">
        <v>51726840</v>
      </c>
      <c r="BL119" s="10">
        <v>41324796</v>
      </c>
      <c r="BM119" s="10">
        <v>169981490</v>
      </c>
      <c r="BN119" s="10">
        <v>3439992</v>
      </c>
      <c r="BO119" s="10">
        <v>15615539</v>
      </c>
      <c r="BP119" s="82">
        <f t="shared" si="29"/>
        <v>259918443</v>
      </c>
      <c r="BQ119" s="82">
        <f t="shared" si="30"/>
        <v>1177679208</v>
      </c>
    </row>
    <row r="120" spans="1:69" x14ac:dyDescent="0.25">
      <c r="A120" s="26" t="s">
        <v>288</v>
      </c>
      <c r="B120" s="10"/>
      <c r="C120" s="10"/>
      <c r="D120" s="10"/>
      <c r="E120" s="10"/>
      <c r="F120" s="10">
        <v>11213</v>
      </c>
      <c r="G120" s="10">
        <v>-23367</v>
      </c>
      <c r="H120" s="10"/>
      <c r="I120" s="10">
        <v>284</v>
      </c>
      <c r="J120" s="10">
        <v>19538</v>
      </c>
      <c r="K120" s="10">
        <v>60205</v>
      </c>
      <c r="L120" s="10">
        <v>43178</v>
      </c>
      <c r="M120" s="10">
        <v>92656</v>
      </c>
      <c r="N120" s="10"/>
      <c r="O120" s="10">
        <v>-1350</v>
      </c>
      <c r="P120" s="10"/>
      <c r="Q120" s="10"/>
      <c r="R120" s="10">
        <v>7885</v>
      </c>
      <c r="S120" s="10">
        <v>60539</v>
      </c>
      <c r="T120" s="10"/>
      <c r="U120" s="10"/>
      <c r="V120" s="10">
        <v>27823</v>
      </c>
      <c r="W120" s="10">
        <v>140155</v>
      </c>
      <c r="X120" s="10">
        <v>417545</v>
      </c>
      <c r="Y120" s="10">
        <v>1938135</v>
      </c>
      <c r="Z120" s="10"/>
      <c r="AA120" s="10"/>
      <c r="AB120" s="10">
        <v>313896</v>
      </c>
      <c r="AC120" s="10">
        <v>1405065</v>
      </c>
      <c r="AD120" s="10">
        <v>54272</v>
      </c>
      <c r="AE120" s="10">
        <v>188006</v>
      </c>
      <c r="AF120" s="10">
        <v>3</v>
      </c>
      <c r="AG120" s="10">
        <v>65</v>
      </c>
      <c r="AH120" s="10">
        <v>7</v>
      </c>
      <c r="AI120" s="10">
        <v>5228</v>
      </c>
      <c r="AJ120" s="10"/>
      <c r="AK120" s="10"/>
      <c r="AL120" s="10"/>
      <c r="AM120" s="10"/>
      <c r="AN120" s="10"/>
      <c r="AO120" s="10"/>
      <c r="AP120" s="10">
        <v>294859.95200000005</v>
      </c>
      <c r="AQ120" s="10">
        <v>1452859.17</v>
      </c>
      <c r="AR120" s="10"/>
      <c r="AS120" s="10"/>
      <c r="AT120" s="10">
        <v>654817</v>
      </c>
      <c r="AU120" s="10">
        <v>3837220</v>
      </c>
      <c r="AV120" s="10">
        <v>105</v>
      </c>
      <c r="AW120" s="10">
        <v>2311</v>
      </c>
      <c r="AX120" s="10">
        <v>63545</v>
      </c>
      <c r="AY120" s="10">
        <v>175742</v>
      </c>
      <c r="AZ120" s="10">
        <v>38949</v>
      </c>
      <c r="BA120" s="10">
        <v>195925</v>
      </c>
      <c r="BB120" s="10">
        <v>11822</v>
      </c>
      <c r="BC120" s="10">
        <v>44595</v>
      </c>
      <c r="BD120" s="10">
        <v>6</v>
      </c>
      <c r="BE120" s="10">
        <v>2168</v>
      </c>
      <c r="BF120" s="10">
        <v>7</v>
      </c>
      <c r="BG120" s="36">
        <v>130</v>
      </c>
      <c r="BH120" s="10"/>
      <c r="BI120" s="10"/>
      <c r="BJ120" s="10">
        <v>313021</v>
      </c>
      <c r="BK120" s="10">
        <v>670004</v>
      </c>
      <c r="BL120" s="10">
        <v>221238</v>
      </c>
      <c r="BM120" s="10">
        <v>1926766</v>
      </c>
      <c r="BN120" s="10">
        <v>3</v>
      </c>
      <c r="BO120" s="10">
        <v>65</v>
      </c>
      <c r="BP120" s="82">
        <f t="shared" si="29"/>
        <v>2493732.952</v>
      </c>
      <c r="BQ120" s="82">
        <f t="shared" si="30"/>
        <v>12173406.17</v>
      </c>
    </row>
    <row r="121" spans="1:69" x14ac:dyDescent="0.25">
      <c r="A121" s="26" t="s">
        <v>289</v>
      </c>
      <c r="B121" s="10">
        <v>163164</v>
      </c>
      <c r="C121" s="10">
        <v>571483</v>
      </c>
      <c r="D121" s="10">
        <v>146838</v>
      </c>
      <c r="E121" s="10">
        <v>397262</v>
      </c>
      <c r="F121" s="10">
        <v>-14947100</v>
      </c>
      <c r="G121" s="10">
        <v>58837887</v>
      </c>
      <c r="H121" s="10">
        <v>680341</v>
      </c>
      <c r="I121" s="10">
        <v>2373783</v>
      </c>
      <c r="J121" s="10">
        <v>7124033</v>
      </c>
      <c r="K121" s="10">
        <v>24492113</v>
      </c>
      <c r="L121" s="10">
        <v>607796</v>
      </c>
      <c r="M121" s="10">
        <v>3175707</v>
      </c>
      <c r="N121" s="10">
        <v>2086044</v>
      </c>
      <c r="O121" s="10">
        <v>9093734</v>
      </c>
      <c r="P121" s="10"/>
      <c r="Q121" s="10"/>
      <c r="R121" s="10">
        <v>38202</v>
      </c>
      <c r="S121" s="10">
        <v>-211804</v>
      </c>
      <c r="T121" s="10">
        <v>311213.89</v>
      </c>
      <c r="U121" s="10">
        <v>1180913.69</v>
      </c>
      <c r="V121" s="10">
        <v>2382717</v>
      </c>
      <c r="W121" s="10">
        <v>5509729</v>
      </c>
      <c r="X121" s="10">
        <v>367539</v>
      </c>
      <c r="Y121" s="10">
        <v>1422975</v>
      </c>
      <c r="Z121" s="10"/>
      <c r="AA121" s="10"/>
      <c r="AB121" s="10"/>
      <c r="AC121" s="10"/>
      <c r="AD121" s="10">
        <v>5809001</v>
      </c>
      <c r="AE121" s="10">
        <v>19422279</v>
      </c>
      <c r="AF121" s="10">
        <v>66464</v>
      </c>
      <c r="AG121" s="10">
        <v>153569</v>
      </c>
      <c r="AH121" s="10">
        <v>147830</v>
      </c>
      <c r="AI121" s="10">
        <v>616507</v>
      </c>
      <c r="AJ121" s="10"/>
      <c r="AK121" s="10"/>
      <c r="AL121" s="10">
        <v>65292</v>
      </c>
      <c r="AM121" s="10">
        <v>175588</v>
      </c>
      <c r="AN121" s="10">
        <v>202401</v>
      </c>
      <c r="AO121" s="10">
        <v>628250</v>
      </c>
      <c r="AP121" s="10">
        <v>25352555.474343996</v>
      </c>
      <c r="AQ121" s="10">
        <v>51464271.822999999</v>
      </c>
      <c r="AR121" s="10"/>
      <c r="AS121" s="10"/>
      <c r="AT121" s="10">
        <v>5296471</v>
      </c>
      <c r="AU121" s="10">
        <v>27616425</v>
      </c>
      <c r="AV121" s="10">
        <v>4523</v>
      </c>
      <c r="AW121" s="10">
        <v>11447</v>
      </c>
      <c r="AX121" s="10">
        <v>2781670</v>
      </c>
      <c r="AY121" s="10">
        <v>13030455</v>
      </c>
      <c r="AZ121" s="10">
        <v>794397</v>
      </c>
      <c r="BA121" s="10">
        <v>4952042</v>
      </c>
      <c r="BB121" s="10"/>
      <c r="BC121" s="10"/>
      <c r="BD121" s="10">
        <v>2326013</v>
      </c>
      <c r="BE121" s="10">
        <v>12820276</v>
      </c>
      <c r="BF121" s="36">
        <v>272775</v>
      </c>
      <c r="BG121" s="36">
        <v>1436109</v>
      </c>
      <c r="BH121" s="10">
        <v>2528570</v>
      </c>
      <c r="BI121" s="10">
        <v>9561804</v>
      </c>
      <c r="BJ121" s="10">
        <v>4500249</v>
      </c>
      <c r="BK121" s="10">
        <v>14814745</v>
      </c>
      <c r="BL121" s="10">
        <v>5176652</v>
      </c>
      <c r="BM121" s="10">
        <v>32455151</v>
      </c>
      <c r="BN121" s="10">
        <v>1809167</v>
      </c>
      <c r="BO121" s="10">
        <v>5980194</v>
      </c>
      <c r="BP121" s="82">
        <f t="shared" si="29"/>
        <v>56094818.364344001</v>
      </c>
      <c r="BQ121" s="82">
        <f t="shared" si="30"/>
        <v>301982895.51300001</v>
      </c>
    </row>
    <row r="122" spans="1:69" x14ac:dyDescent="0.25">
      <c r="A122" s="26" t="s">
        <v>285</v>
      </c>
      <c r="B122" s="10">
        <v>185399</v>
      </c>
      <c r="C122" s="10">
        <v>993622</v>
      </c>
      <c r="D122" s="10">
        <v>719531</v>
      </c>
      <c r="E122" s="10">
        <v>2873257</v>
      </c>
      <c r="F122" s="10">
        <v>3755156</v>
      </c>
      <c r="G122" s="10">
        <v>21310882</v>
      </c>
      <c r="H122" s="10">
        <v>3683647</v>
      </c>
      <c r="I122" s="10">
        <v>14062273</v>
      </c>
      <c r="J122" s="10">
        <v>12248887</v>
      </c>
      <c r="K122" s="10">
        <v>58047889</v>
      </c>
      <c r="L122" s="10">
        <v>3738610</v>
      </c>
      <c r="M122" s="10">
        <v>14330954</v>
      </c>
      <c r="N122" s="10">
        <v>6283449</v>
      </c>
      <c r="O122" s="10">
        <v>25772815</v>
      </c>
      <c r="P122" s="10">
        <v>283389</v>
      </c>
      <c r="Q122" s="10">
        <v>814338</v>
      </c>
      <c r="R122" s="10">
        <v>328240</v>
      </c>
      <c r="S122" s="10">
        <v>1061547</v>
      </c>
      <c r="T122" s="10">
        <v>5090790.37</v>
      </c>
      <c r="U122" s="10">
        <v>9586203.9900000002</v>
      </c>
      <c r="V122" s="10">
        <v>3480858</v>
      </c>
      <c r="W122" s="10">
        <v>11821244</v>
      </c>
      <c r="X122" s="10">
        <v>2826805</v>
      </c>
      <c r="Y122" s="10">
        <v>9309726</v>
      </c>
      <c r="Z122" s="10">
        <v>7813297</v>
      </c>
      <c r="AA122" s="10">
        <v>33841450</v>
      </c>
      <c r="AB122" s="10">
        <v>16399240</v>
      </c>
      <c r="AC122" s="10">
        <v>68515769</v>
      </c>
      <c r="AD122" s="10">
        <v>10055839</v>
      </c>
      <c r="AE122" s="10">
        <v>40983764</v>
      </c>
      <c r="AF122" s="10">
        <v>527986</v>
      </c>
      <c r="AG122" s="10">
        <v>2001341</v>
      </c>
      <c r="AH122" s="10">
        <v>2175096</v>
      </c>
      <c r="AI122" s="10">
        <v>8405883</v>
      </c>
      <c r="AJ122" s="10">
        <v>1620884</v>
      </c>
      <c r="AK122" s="10">
        <v>5974218</v>
      </c>
      <c r="AL122" s="10">
        <v>792721</v>
      </c>
      <c r="AM122" s="10">
        <v>3103170</v>
      </c>
      <c r="AN122" s="10">
        <v>1052640</v>
      </c>
      <c r="AO122" s="10">
        <v>4500691</v>
      </c>
      <c r="AP122" s="10">
        <v>29105516.124086492</v>
      </c>
      <c r="AQ122" s="10">
        <v>102499477.208</v>
      </c>
      <c r="AR122" s="10">
        <v>55769561</v>
      </c>
      <c r="AS122" s="10">
        <v>215126188</v>
      </c>
      <c r="AT122" s="10">
        <v>28688602</v>
      </c>
      <c r="AU122" s="10">
        <v>111796184</v>
      </c>
      <c r="AV122" s="10">
        <v>271644</v>
      </c>
      <c r="AW122" s="10">
        <v>859414</v>
      </c>
      <c r="AX122" s="10">
        <v>9244200</v>
      </c>
      <c r="AY122" s="10">
        <v>34119230</v>
      </c>
      <c r="AZ122" s="10">
        <v>2246392</v>
      </c>
      <c r="BA122" s="10">
        <v>8919448</v>
      </c>
      <c r="BB122" s="10">
        <v>4407475</v>
      </c>
      <c r="BC122" s="10">
        <v>19388743</v>
      </c>
      <c r="BD122" s="10">
        <v>4054197</v>
      </c>
      <c r="BE122" s="10">
        <v>21552877</v>
      </c>
      <c r="BF122" s="36">
        <v>3715018</v>
      </c>
      <c r="BG122" s="36">
        <v>14763914</v>
      </c>
      <c r="BH122" s="10">
        <v>8290672</v>
      </c>
      <c r="BI122" s="10">
        <v>30874267</v>
      </c>
      <c r="BJ122" s="10">
        <v>9809293</v>
      </c>
      <c r="BK122" s="10">
        <v>37582099</v>
      </c>
      <c r="BL122" s="10">
        <v>36369382</v>
      </c>
      <c r="BM122" s="10">
        <v>139453105</v>
      </c>
      <c r="BN122" s="10">
        <v>1630828</v>
      </c>
      <c r="BO122" s="10">
        <v>9635410</v>
      </c>
      <c r="BP122" s="82">
        <f t="shared" si="29"/>
        <v>276665244.4940865</v>
      </c>
      <c r="BQ122" s="82">
        <f t="shared" si="30"/>
        <v>1083881393.198</v>
      </c>
    </row>
  </sheetData>
  <mergeCells count="374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H4:BI4"/>
    <mergeCell ref="BJ4:BK4"/>
    <mergeCell ref="BL4:BM4"/>
    <mergeCell ref="BN4:BO4"/>
    <mergeCell ref="BP4:BQ4"/>
    <mergeCell ref="B15:C15"/>
    <mergeCell ref="D15:E15"/>
    <mergeCell ref="F15:G15"/>
    <mergeCell ref="H15:I15"/>
    <mergeCell ref="J15:K15"/>
    <mergeCell ref="AX4:AY4"/>
    <mergeCell ref="AZ4:BA4"/>
    <mergeCell ref="BB4:BC4"/>
    <mergeCell ref="BD4:BE4"/>
    <mergeCell ref="BF4:BG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L15:BM15"/>
    <mergeCell ref="BN15:BO15"/>
    <mergeCell ref="BP15:BQ15"/>
    <mergeCell ref="AV15:AW15"/>
    <mergeCell ref="AX15:AY15"/>
    <mergeCell ref="AZ15:BA15"/>
    <mergeCell ref="BB15:BC15"/>
    <mergeCell ref="BD15:BE15"/>
    <mergeCell ref="R15:S15"/>
    <mergeCell ref="T15:U15"/>
    <mergeCell ref="V15:W15"/>
    <mergeCell ref="B26:C26"/>
    <mergeCell ref="D26:E26"/>
    <mergeCell ref="F26:G26"/>
    <mergeCell ref="H26:I26"/>
    <mergeCell ref="J26:K26"/>
    <mergeCell ref="L26:M26"/>
    <mergeCell ref="BF15:BG15"/>
    <mergeCell ref="BH15:BI15"/>
    <mergeCell ref="BJ15:BK15"/>
    <mergeCell ref="AJ15:AK15"/>
    <mergeCell ref="AL15:AM15"/>
    <mergeCell ref="AN15:AO15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L15:M15"/>
    <mergeCell ref="N15:O15"/>
    <mergeCell ref="P15:Q15"/>
    <mergeCell ref="AF26:AG26"/>
    <mergeCell ref="AH26:AI26"/>
    <mergeCell ref="AJ26:AK26"/>
    <mergeCell ref="N26:O26"/>
    <mergeCell ref="P26:Q26"/>
    <mergeCell ref="R26:S26"/>
    <mergeCell ref="T26:U26"/>
    <mergeCell ref="V26:W26"/>
    <mergeCell ref="X26:Y26"/>
    <mergeCell ref="BH26:BI26"/>
    <mergeCell ref="BJ26:BK26"/>
    <mergeCell ref="BL26:BM26"/>
    <mergeCell ref="BN26:BO26"/>
    <mergeCell ref="BP26:BQ26"/>
    <mergeCell ref="B37:C37"/>
    <mergeCell ref="D37:E37"/>
    <mergeCell ref="F37:G37"/>
    <mergeCell ref="H37:I37"/>
    <mergeCell ref="J37:K37"/>
    <mergeCell ref="AX26:AY26"/>
    <mergeCell ref="AZ26:BA26"/>
    <mergeCell ref="BB26:BC26"/>
    <mergeCell ref="BD26:BE26"/>
    <mergeCell ref="BF26:BG26"/>
    <mergeCell ref="AL26:AM26"/>
    <mergeCell ref="AN26:AO26"/>
    <mergeCell ref="AP26:AQ26"/>
    <mergeCell ref="AR26:AS26"/>
    <mergeCell ref="AT26:AU26"/>
    <mergeCell ref="AV26:AW26"/>
    <mergeCell ref="Z26:AA26"/>
    <mergeCell ref="AB26:AC26"/>
    <mergeCell ref="AD26:AE26"/>
    <mergeCell ref="BL37:BM37"/>
    <mergeCell ref="BN37:BO37"/>
    <mergeCell ref="BP37:BQ37"/>
    <mergeCell ref="AV37:AW37"/>
    <mergeCell ref="AX37:AY37"/>
    <mergeCell ref="AZ37:BA37"/>
    <mergeCell ref="BB37:BC37"/>
    <mergeCell ref="BD37:BE37"/>
    <mergeCell ref="R37:S37"/>
    <mergeCell ref="T37:U37"/>
    <mergeCell ref="V37:W37"/>
    <mergeCell ref="B48:C48"/>
    <mergeCell ref="D48:E48"/>
    <mergeCell ref="F48:G48"/>
    <mergeCell ref="H48:I48"/>
    <mergeCell ref="J48:K48"/>
    <mergeCell ref="L48:M48"/>
    <mergeCell ref="BF37:BG37"/>
    <mergeCell ref="BH37:BI37"/>
    <mergeCell ref="BJ37:BK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H48:BI48"/>
    <mergeCell ref="BJ48:BK48"/>
    <mergeCell ref="BL48:BM48"/>
    <mergeCell ref="BN48:BO48"/>
    <mergeCell ref="BP48:BQ48"/>
    <mergeCell ref="B59:C59"/>
    <mergeCell ref="D59:E59"/>
    <mergeCell ref="F59:G59"/>
    <mergeCell ref="H59:I59"/>
    <mergeCell ref="J59:K59"/>
    <mergeCell ref="AX48:AY48"/>
    <mergeCell ref="AZ48:BA48"/>
    <mergeCell ref="BB48:BC48"/>
    <mergeCell ref="BD48:BE48"/>
    <mergeCell ref="BF48:BG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BL59:BM59"/>
    <mergeCell ref="BN59:BO59"/>
    <mergeCell ref="BP59:BQ59"/>
    <mergeCell ref="AV59:AW59"/>
    <mergeCell ref="AX59:AY59"/>
    <mergeCell ref="AZ59:BA59"/>
    <mergeCell ref="BB59:BC59"/>
    <mergeCell ref="BD59:BE59"/>
    <mergeCell ref="R59:S59"/>
    <mergeCell ref="T59:U59"/>
    <mergeCell ref="V59:W59"/>
    <mergeCell ref="B70:C70"/>
    <mergeCell ref="D70:E70"/>
    <mergeCell ref="F70:G70"/>
    <mergeCell ref="H70:I70"/>
    <mergeCell ref="J70:K70"/>
    <mergeCell ref="L70:M70"/>
    <mergeCell ref="BF59:BG59"/>
    <mergeCell ref="BH59:BI59"/>
    <mergeCell ref="BJ59:BK59"/>
    <mergeCell ref="AJ59:AK59"/>
    <mergeCell ref="AL59:AM59"/>
    <mergeCell ref="AN59:AO59"/>
    <mergeCell ref="AP59:AQ59"/>
    <mergeCell ref="AR59:AS59"/>
    <mergeCell ref="AT59:AU59"/>
    <mergeCell ref="X59:Y59"/>
    <mergeCell ref="Z59:AA59"/>
    <mergeCell ref="AB59:AC59"/>
    <mergeCell ref="AD59:AE59"/>
    <mergeCell ref="AF59:AG59"/>
    <mergeCell ref="AH59:AI59"/>
    <mergeCell ref="L59:M59"/>
    <mergeCell ref="N59:O59"/>
    <mergeCell ref="P59:Q59"/>
    <mergeCell ref="AF70:AG70"/>
    <mergeCell ref="AH70:AI70"/>
    <mergeCell ref="AJ70:AK70"/>
    <mergeCell ref="N70:O70"/>
    <mergeCell ref="P70:Q70"/>
    <mergeCell ref="R70:S70"/>
    <mergeCell ref="T70:U70"/>
    <mergeCell ref="V70:W70"/>
    <mergeCell ref="X70:Y70"/>
    <mergeCell ref="BH70:BI70"/>
    <mergeCell ref="BJ70:BK70"/>
    <mergeCell ref="BL70:BM70"/>
    <mergeCell ref="BN70:BO70"/>
    <mergeCell ref="BP70:BQ70"/>
    <mergeCell ref="B81:C81"/>
    <mergeCell ref="D81:E81"/>
    <mergeCell ref="F81:G81"/>
    <mergeCell ref="H81:I81"/>
    <mergeCell ref="J81:K81"/>
    <mergeCell ref="AX70:AY70"/>
    <mergeCell ref="AZ70:BA70"/>
    <mergeCell ref="BB70:BC70"/>
    <mergeCell ref="BD70:BE70"/>
    <mergeCell ref="BF70:BG70"/>
    <mergeCell ref="AL70:AM70"/>
    <mergeCell ref="AN70:AO70"/>
    <mergeCell ref="AP70:AQ70"/>
    <mergeCell ref="AR70:AS70"/>
    <mergeCell ref="AT70:AU70"/>
    <mergeCell ref="AV70:AW70"/>
    <mergeCell ref="Z70:AA70"/>
    <mergeCell ref="AB70:AC70"/>
    <mergeCell ref="AD70:AE70"/>
    <mergeCell ref="BL81:BM81"/>
    <mergeCell ref="BN81:BO81"/>
    <mergeCell ref="BP81:BQ81"/>
    <mergeCell ref="AV81:AW81"/>
    <mergeCell ref="AX81:AY81"/>
    <mergeCell ref="AZ81:BA81"/>
    <mergeCell ref="BB81:BC81"/>
    <mergeCell ref="BD81:BE81"/>
    <mergeCell ref="R81:S81"/>
    <mergeCell ref="T81:U81"/>
    <mergeCell ref="V81:W81"/>
    <mergeCell ref="D103:E103"/>
    <mergeCell ref="F103:G103"/>
    <mergeCell ref="H103:I103"/>
    <mergeCell ref="J103:K103"/>
    <mergeCell ref="L103:M103"/>
    <mergeCell ref="BF81:BG81"/>
    <mergeCell ref="BH81:BI81"/>
    <mergeCell ref="BJ81:BK81"/>
    <mergeCell ref="AJ81:AK81"/>
    <mergeCell ref="AL81:AM81"/>
    <mergeCell ref="AN81:AO81"/>
    <mergeCell ref="AP81:AQ81"/>
    <mergeCell ref="AR81:AS81"/>
    <mergeCell ref="AT81:AU81"/>
    <mergeCell ref="X81:Y81"/>
    <mergeCell ref="Z81:AA81"/>
    <mergeCell ref="AB81:AC81"/>
    <mergeCell ref="AD81:AE81"/>
    <mergeCell ref="AF81:AG81"/>
    <mergeCell ref="AH81:AI81"/>
    <mergeCell ref="L81:M81"/>
    <mergeCell ref="N81:O81"/>
    <mergeCell ref="P81:Q81"/>
    <mergeCell ref="T92:U92"/>
    <mergeCell ref="BN103:BO103"/>
    <mergeCell ref="BP103:BQ103"/>
    <mergeCell ref="B114:C114"/>
    <mergeCell ref="D114:E114"/>
    <mergeCell ref="F114:G114"/>
    <mergeCell ref="H114:I114"/>
    <mergeCell ref="J114:K114"/>
    <mergeCell ref="AX103:AY103"/>
    <mergeCell ref="AZ103:BA103"/>
    <mergeCell ref="BB103:BC103"/>
    <mergeCell ref="BD103:BE103"/>
    <mergeCell ref="BF103:BG103"/>
    <mergeCell ref="AL103:AM103"/>
    <mergeCell ref="AN103:AO103"/>
    <mergeCell ref="AP103:AQ103"/>
    <mergeCell ref="AR103:AS103"/>
    <mergeCell ref="AT103:AU103"/>
    <mergeCell ref="AV103:AW103"/>
    <mergeCell ref="Z103:AA103"/>
    <mergeCell ref="AB103:AC103"/>
    <mergeCell ref="AD103:AE103"/>
    <mergeCell ref="AF103:AG103"/>
    <mergeCell ref="AH103:AI103"/>
    <mergeCell ref="B103:C103"/>
    <mergeCell ref="L114:M114"/>
    <mergeCell ref="N114:O114"/>
    <mergeCell ref="P114:Q114"/>
    <mergeCell ref="R114:S114"/>
    <mergeCell ref="T114:U114"/>
    <mergeCell ref="V114:W114"/>
    <mergeCell ref="BH103:BI103"/>
    <mergeCell ref="BJ103:BK103"/>
    <mergeCell ref="BL103:BM103"/>
    <mergeCell ref="AJ103:AK103"/>
    <mergeCell ref="N103:O103"/>
    <mergeCell ref="P103:Q103"/>
    <mergeCell ref="R103:S103"/>
    <mergeCell ref="T103:U103"/>
    <mergeCell ref="V103:W103"/>
    <mergeCell ref="X103:Y103"/>
    <mergeCell ref="AJ114:AK114"/>
    <mergeCell ref="AL114:AM114"/>
    <mergeCell ref="AN114:AO114"/>
    <mergeCell ref="AP114:AQ114"/>
    <mergeCell ref="AR114:AS114"/>
    <mergeCell ref="AT114:AU114"/>
    <mergeCell ref="X114:Y114"/>
    <mergeCell ref="Z114:AA114"/>
    <mergeCell ref="BP114:BQ114"/>
    <mergeCell ref="AV114:AW114"/>
    <mergeCell ref="AX114:AY114"/>
    <mergeCell ref="AZ114:BA114"/>
    <mergeCell ref="BB114:BC114"/>
    <mergeCell ref="BD114:BE114"/>
    <mergeCell ref="AB114:AC114"/>
    <mergeCell ref="AD114:AE114"/>
    <mergeCell ref="AF114:AG114"/>
    <mergeCell ref="AH114:AI114"/>
    <mergeCell ref="BF114:BG114"/>
    <mergeCell ref="BH114:BI114"/>
    <mergeCell ref="BJ114:BK114"/>
    <mergeCell ref="BL114:BM114"/>
    <mergeCell ref="BN114:BO114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V92:W92"/>
    <mergeCell ref="X92:Y92"/>
    <mergeCell ref="Z92:AA92"/>
    <mergeCell ref="AB92:AC92"/>
    <mergeCell ref="AD92:AE92"/>
    <mergeCell ref="AF92:AG92"/>
    <mergeCell ref="AH92:AI92"/>
    <mergeCell ref="AJ92:AK92"/>
    <mergeCell ref="BB92:BC92"/>
    <mergeCell ref="BD92:BE92"/>
    <mergeCell ref="BF92:BG92"/>
    <mergeCell ref="BH92:BI92"/>
    <mergeCell ref="BJ92:BK92"/>
    <mergeCell ref="BL92:BM92"/>
    <mergeCell ref="BN92:BO92"/>
    <mergeCell ref="BP92:BQ92"/>
    <mergeCell ref="AL92:AM92"/>
    <mergeCell ref="AN92:AO92"/>
    <mergeCell ref="AP92:AQ92"/>
    <mergeCell ref="AR92:AS92"/>
    <mergeCell ref="AT92:AU92"/>
    <mergeCell ref="AV92:AW92"/>
    <mergeCell ref="AX92:AY92"/>
    <mergeCell ref="AZ92:BA9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69" width="16" style="7" customWidth="1"/>
    <col min="70" max="16384" width="9.140625" style="7"/>
  </cols>
  <sheetData>
    <row r="1" spans="1:69" ht="18.75" x14ac:dyDescent="0.3">
      <c r="A1" s="9" t="s">
        <v>227</v>
      </c>
    </row>
    <row r="2" spans="1:69" x14ac:dyDescent="0.25">
      <c r="A2" s="28" t="s">
        <v>46</v>
      </c>
    </row>
    <row r="3" spans="1:69" x14ac:dyDescent="0.25">
      <c r="A3" s="29" t="s">
        <v>228</v>
      </c>
    </row>
    <row r="4" spans="1:69" x14ac:dyDescent="0.25">
      <c r="A4" s="3" t="s">
        <v>0</v>
      </c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295</v>
      </c>
      <c r="I4" s="112"/>
      <c r="J4" s="111" t="s">
        <v>5</v>
      </c>
      <c r="K4" s="112"/>
      <c r="L4" s="111" t="s">
        <v>6</v>
      </c>
      <c r="M4" s="112"/>
      <c r="N4" s="111" t="s">
        <v>7</v>
      </c>
      <c r="O4" s="112"/>
      <c r="P4" s="111" t="s">
        <v>309</v>
      </c>
      <c r="Q4" s="112"/>
      <c r="R4" s="111" t="s">
        <v>9</v>
      </c>
      <c r="S4" s="112"/>
      <c r="T4" s="111" t="s">
        <v>10</v>
      </c>
      <c r="U4" s="112"/>
      <c r="V4" s="111" t="s">
        <v>11</v>
      </c>
      <c r="W4" s="112"/>
      <c r="X4" s="111" t="s">
        <v>12</v>
      </c>
      <c r="Y4" s="112"/>
      <c r="Z4" s="111" t="s">
        <v>13</v>
      </c>
      <c r="AA4" s="112"/>
      <c r="AB4" s="111" t="s">
        <v>14</v>
      </c>
      <c r="AC4" s="112"/>
      <c r="AD4" s="111" t="s">
        <v>15</v>
      </c>
      <c r="AE4" s="112"/>
      <c r="AF4" s="111" t="s">
        <v>16</v>
      </c>
      <c r="AG4" s="112"/>
      <c r="AH4" s="111" t="s">
        <v>17</v>
      </c>
      <c r="AI4" s="112"/>
      <c r="AJ4" s="111" t="s">
        <v>18</v>
      </c>
      <c r="AK4" s="112"/>
      <c r="AL4" s="111" t="s">
        <v>293</v>
      </c>
      <c r="AM4" s="112"/>
      <c r="AN4" s="111" t="s">
        <v>19</v>
      </c>
      <c r="AO4" s="112"/>
      <c r="AP4" s="111" t="s">
        <v>20</v>
      </c>
      <c r="AQ4" s="112"/>
      <c r="AR4" s="111" t="s">
        <v>21</v>
      </c>
      <c r="AS4" s="112"/>
      <c r="AT4" s="111" t="s">
        <v>22</v>
      </c>
      <c r="AU4" s="112"/>
      <c r="AV4" s="111" t="s">
        <v>23</v>
      </c>
      <c r="AW4" s="112"/>
      <c r="AX4" s="111" t="s">
        <v>24</v>
      </c>
      <c r="AY4" s="112"/>
      <c r="AZ4" s="111" t="s">
        <v>25</v>
      </c>
      <c r="BA4" s="112"/>
      <c r="BB4" s="111" t="s">
        <v>26</v>
      </c>
      <c r="BC4" s="112"/>
      <c r="BD4" s="111" t="s">
        <v>27</v>
      </c>
      <c r="BE4" s="112"/>
      <c r="BF4" s="111" t="s">
        <v>28</v>
      </c>
      <c r="BG4" s="112"/>
      <c r="BH4" s="111" t="s">
        <v>29</v>
      </c>
      <c r="BI4" s="112"/>
      <c r="BJ4" s="111" t="s">
        <v>30</v>
      </c>
      <c r="BK4" s="112"/>
      <c r="BL4" s="115" t="s">
        <v>31</v>
      </c>
      <c r="BM4" s="116"/>
      <c r="BN4" s="111" t="s">
        <v>32</v>
      </c>
      <c r="BO4" s="112"/>
      <c r="BP4" s="113" t="s">
        <v>33</v>
      </c>
      <c r="BQ4" s="114"/>
    </row>
    <row r="5" spans="1:69" ht="30" x14ac:dyDescent="0.25">
      <c r="A5" s="3"/>
      <c r="B5" s="66" t="s">
        <v>298</v>
      </c>
      <c r="C5" s="67" t="s">
        <v>299</v>
      </c>
      <c r="D5" s="66" t="s">
        <v>298</v>
      </c>
      <c r="E5" s="67" t="s">
        <v>299</v>
      </c>
      <c r="F5" s="66" t="s">
        <v>298</v>
      </c>
      <c r="G5" s="67" t="s">
        <v>299</v>
      </c>
      <c r="H5" s="66" t="s">
        <v>298</v>
      </c>
      <c r="I5" s="67" t="s">
        <v>299</v>
      </c>
      <c r="J5" s="66" t="s">
        <v>298</v>
      </c>
      <c r="K5" s="67" t="s">
        <v>299</v>
      </c>
      <c r="L5" s="66" t="s">
        <v>298</v>
      </c>
      <c r="M5" s="67" t="s">
        <v>299</v>
      </c>
      <c r="N5" s="66" t="s">
        <v>298</v>
      </c>
      <c r="O5" s="67" t="s">
        <v>299</v>
      </c>
      <c r="P5" s="66" t="s">
        <v>298</v>
      </c>
      <c r="Q5" s="67" t="s">
        <v>299</v>
      </c>
      <c r="R5" s="66" t="s">
        <v>298</v>
      </c>
      <c r="S5" s="67" t="s">
        <v>299</v>
      </c>
      <c r="T5" s="66" t="s">
        <v>298</v>
      </c>
      <c r="U5" s="67" t="s">
        <v>299</v>
      </c>
      <c r="V5" s="66" t="s">
        <v>298</v>
      </c>
      <c r="W5" s="67" t="s">
        <v>299</v>
      </c>
      <c r="X5" s="66" t="s">
        <v>298</v>
      </c>
      <c r="Y5" s="67" t="s">
        <v>299</v>
      </c>
      <c r="Z5" s="66" t="s">
        <v>298</v>
      </c>
      <c r="AA5" s="67" t="s">
        <v>299</v>
      </c>
      <c r="AB5" s="66" t="s">
        <v>298</v>
      </c>
      <c r="AC5" s="67" t="s">
        <v>299</v>
      </c>
      <c r="AD5" s="66" t="s">
        <v>298</v>
      </c>
      <c r="AE5" s="67" t="s">
        <v>299</v>
      </c>
      <c r="AF5" s="66" t="s">
        <v>298</v>
      </c>
      <c r="AG5" s="67" t="s">
        <v>299</v>
      </c>
      <c r="AH5" s="66" t="s">
        <v>298</v>
      </c>
      <c r="AI5" s="67" t="s">
        <v>299</v>
      </c>
      <c r="AJ5" s="66" t="s">
        <v>298</v>
      </c>
      <c r="AK5" s="67" t="s">
        <v>299</v>
      </c>
      <c r="AL5" s="66" t="s">
        <v>298</v>
      </c>
      <c r="AM5" s="67" t="s">
        <v>299</v>
      </c>
      <c r="AN5" s="66" t="s">
        <v>298</v>
      </c>
      <c r="AO5" s="67" t="s">
        <v>299</v>
      </c>
      <c r="AP5" s="66" t="s">
        <v>298</v>
      </c>
      <c r="AQ5" s="67" t="s">
        <v>299</v>
      </c>
      <c r="AR5" s="66" t="s">
        <v>298</v>
      </c>
      <c r="AS5" s="67" t="s">
        <v>299</v>
      </c>
      <c r="AT5" s="66" t="s">
        <v>298</v>
      </c>
      <c r="AU5" s="67" t="s">
        <v>299</v>
      </c>
      <c r="AV5" s="66" t="s">
        <v>298</v>
      </c>
      <c r="AW5" s="67" t="s">
        <v>299</v>
      </c>
      <c r="AX5" s="66" t="s">
        <v>298</v>
      </c>
      <c r="AY5" s="67" t="s">
        <v>299</v>
      </c>
      <c r="AZ5" s="66" t="s">
        <v>298</v>
      </c>
      <c r="BA5" s="67" t="s">
        <v>299</v>
      </c>
      <c r="BB5" s="66" t="s">
        <v>298</v>
      </c>
      <c r="BC5" s="67" t="s">
        <v>299</v>
      </c>
      <c r="BD5" s="66" t="s">
        <v>298</v>
      </c>
      <c r="BE5" s="67" t="s">
        <v>299</v>
      </c>
      <c r="BF5" s="66" t="s">
        <v>298</v>
      </c>
      <c r="BG5" s="67" t="s">
        <v>299</v>
      </c>
      <c r="BH5" s="66" t="s">
        <v>298</v>
      </c>
      <c r="BI5" s="67" t="s">
        <v>299</v>
      </c>
      <c r="BJ5" s="66" t="s">
        <v>298</v>
      </c>
      <c r="BK5" s="67" t="s">
        <v>299</v>
      </c>
      <c r="BL5" s="66" t="s">
        <v>298</v>
      </c>
      <c r="BM5" s="67" t="s">
        <v>299</v>
      </c>
      <c r="BN5" s="66" t="s">
        <v>298</v>
      </c>
      <c r="BO5" s="67" t="s">
        <v>299</v>
      </c>
      <c r="BP5" s="66" t="s">
        <v>298</v>
      </c>
      <c r="BQ5" s="67" t="s">
        <v>299</v>
      </c>
    </row>
    <row r="6" spans="1:69" x14ac:dyDescent="0.25">
      <c r="A6" s="30" t="s">
        <v>237</v>
      </c>
      <c r="B6" s="10"/>
      <c r="C6" s="10"/>
      <c r="D6" s="10"/>
      <c r="E6" s="10"/>
      <c r="F6" s="10"/>
      <c r="G6" s="10"/>
      <c r="H6" s="10"/>
      <c r="I6" s="10"/>
      <c r="J6" s="10">
        <v>273775</v>
      </c>
      <c r="K6" s="10">
        <v>1074635</v>
      </c>
      <c r="L6" s="10">
        <v>39274</v>
      </c>
      <c r="M6" s="10">
        <v>161403</v>
      </c>
      <c r="N6" s="10">
        <v>-13974</v>
      </c>
      <c r="O6" s="10">
        <v>306903</v>
      </c>
      <c r="P6" s="10">
        <v>11333</v>
      </c>
      <c r="Q6" s="10">
        <v>39819</v>
      </c>
      <c r="R6" s="10">
        <v>1427</v>
      </c>
      <c r="S6" s="10">
        <v>2598</v>
      </c>
      <c r="T6" s="10"/>
      <c r="U6" s="10"/>
      <c r="V6" s="10">
        <v>74541</v>
      </c>
      <c r="W6" s="10">
        <v>302973</v>
      </c>
      <c r="X6" s="10">
        <v>18596</v>
      </c>
      <c r="Y6" s="10">
        <v>26732</v>
      </c>
      <c r="Z6" s="10">
        <v>187788</v>
      </c>
      <c r="AA6" s="10">
        <v>860375</v>
      </c>
      <c r="AB6" s="10">
        <v>230360</v>
      </c>
      <c r="AC6" s="10">
        <v>839470</v>
      </c>
      <c r="AD6" s="10">
        <v>123069</v>
      </c>
      <c r="AE6" s="10">
        <v>482250</v>
      </c>
      <c r="AF6" s="10">
        <v>10932</v>
      </c>
      <c r="AG6" s="10">
        <v>45136</v>
      </c>
      <c r="AH6" s="10">
        <v>18187</v>
      </c>
      <c r="AI6" s="10">
        <v>74116</v>
      </c>
      <c r="AJ6" s="86">
        <v>21536</v>
      </c>
      <c r="AK6" s="10">
        <v>48416</v>
      </c>
      <c r="AL6" s="10"/>
      <c r="AM6" s="10"/>
      <c r="AN6" s="10"/>
      <c r="AO6" s="10"/>
      <c r="AP6" s="155">
        <v>220626</v>
      </c>
      <c r="AQ6" s="155">
        <v>877518</v>
      </c>
      <c r="AR6" s="10">
        <v>1183631</v>
      </c>
      <c r="AS6" s="10">
        <v>4222411</v>
      </c>
      <c r="AT6" s="10">
        <v>417098</v>
      </c>
      <c r="AU6" s="10">
        <v>1343331</v>
      </c>
      <c r="AV6" s="10">
        <v>1297</v>
      </c>
      <c r="AW6" s="10">
        <v>4844</v>
      </c>
      <c r="AX6" s="10">
        <v>85357</v>
      </c>
      <c r="AY6" s="10">
        <v>556011</v>
      </c>
      <c r="AZ6" s="10"/>
      <c r="BA6" s="10"/>
      <c r="BB6" s="10">
        <v>55162</v>
      </c>
      <c r="BC6" s="10">
        <v>246893</v>
      </c>
      <c r="BD6" s="10">
        <v>363308</v>
      </c>
      <c r="BE6" s="10">
        <v>1364534</v>
      </c>
      <c r="BF6" s="155"/>
      <c r="BG6" s="10"/>
      <c r="BH6" s="10"/>
      <c r="BI6" s="10"/>
      <c r="BJ6" s="10">
        <v>227201</v>
      </c>
      <c r="BK6" s="10">
        <v>909106</v>
      </c>
      <c r="BL6" s="10">
        <v>454506</v>
      </c>
      <c r="BM6" s="10">
        <v>1360819</v>
      </c>
      <c r="BN6" s="10">
        <v>37194</v>
      </c>
      <c r="BO6" s="10">
        <v>133068</v>
      </c>
      <c r="BP6" s="82">
        <f>B6+D6+F6+H6+J6+L6+N6+P6+R6+T6+V6+X6+Z6+AB6+AD6+AF6+AH6+AJ6+AL6+AN6+AP6+AR6+AT6+AV6+AX6+AZ6+BB6+BD6+BF6+BH6+BJ6+BL6+BN6</f>
        <v>4042224</v>
      </c>
      <c r="BQ6" s="82">
        <f>C6+E6+G6+I6+K6+M6+O6+Q6+S6+U6+W6+Y6+AA6+AC6+AE6+AG6+AI6+AK6+AM6+AO6+AQ6+AS6+AU6+AW6+AY6+BA6+BC6+BE6+BG6+BI6+BK6+BM6+BO6</f>
        <v>15283361</v>
      </c>
    </row>
    <row r="7" spans="1:69" x14ac:dyDescent="0.25">
      <c r="A7" s="30" t="s">
        <v>288</v>
      </c>
      <c r="B7" s="10"/>
      <c r="C7" s="10"/>
      <c r="D7" s="10"/>
      <c r="E7" s="10"/>
      <c r="F7" s="10"/>
      <c r="G7" s="10"/>
      <c r="H7" s="10"/>
      <c r="I7" s="10"/>
      <c r="J7" s="10">
        <v>9621</v>
      </c>
      <c r="K7" s="10">
        <v>44308</v>
      </c>
      <c r="L7" s="10">
        <v>1113</v>
      </c>
      <c r="M7" s="10">
        <v>11621</v>
      </c>
      <c r="N7" s="10">
        <v>483</v>
      </c>
      <c r="O7" s="10">
        <v>2770</v>
      </c>
      <c r="P7" s="10">
        <v>136</v>
      </c>
      <c r="Q7" s="10">
        <v>659</v>
      </c>
      <c r="R7" s="10">
        <v>1931</v>
      </c>
      <c r="S7" s="10">
        <v>5712</v>
      </c>
      <c r="T7" s="10"/>
      <c r="U7" s="10"/>
      <c r="V7" s="10">
        <v>894</v>
      </c>
      <c r="W7" s="10">
        <v>25693</v>
      </c>
      <c r="X7" s="10">
        <v>-7578</v>
      </c>
      <c r="Y7" s="10">
        <v>185439</v>
      </c>
      <c r="Z7" s="10">
        <v>10574</v>
      </c>
      <c r="AA7" s="10">
        <v>47297</v>
      </c>
      <c r="AB7" s="10">
        <v>13617</v>
      </c>
      <c r="AC7" s="10">
        <v>76098</v>
      </c>
      <c r="AD7" s="10">
        <v>7475</v>
      </c>
      <c r="AE7" s="10">
        <v>43024</v>
      </c>
      <c r="AF7" s="10">
        <v>124</v>
      </c>
      <c r="AG7" s="10">
        <v>709</v>
      </c>
      <c r="AH7" s="10">
        <v>258</v>
      </c>
      <c r="AI7" s="10">
        <v>1475</v>
      </c>
      <c r="AJ7" s="86">
        <v>4954</v>
      </c>
      <c r="AK7" s="10">
        <v>38929</v>
      </c>
      <c r="AL7" s="10"/>
      <c r="AM7" s="10"/>
      <c r="AN7" s="10"/>
      <c r="AO7" s="10"/>
      <c r="AP7" s="155">
        <v>154140</v>
      </c>
      <c r="AQ7" s="155">
        <v>276551</v>
      </c>
      <c r="AR7" s="10">
        <v>582378</v>
      </c>
      <c r="AS7" s="10">
        <v>1877254</v>
      </c>
      <c r="AT7" s="10">
        <v>31772</v>
      </c>
      <c r="AU7" s="10">
        <v>234167</v>
      </c>
      <c r="AV7" s="10">
        <v>181</v>
      </c>
      <c r="AW7" s="10">
        <v>827</v>
      </c>
      <c r="AX7" s="10">
        <v>3316</v>
      </c>
      <c r="AY7" s="10">
        <v>21550</v>
      </c>
      <c r="AZ7" s="10"/>
      <c r="BA7" s="10"/>
      <c r="BB7" s="10">
        <v>4855</v>
      </c>
      <c r="BC7" s="10">
        <v>38468</v>
      </c>
      <c r="BD7" s="10">
        <v>977</v>
      </c>
      <c r="BE7" s="10">
        <v>5381</v>
      </c>
      <c r="BF7" s="155"/>
      <c r="BG7" s="10"/>
      <c r="BH7" s="10"/>
      <c r="BI7" s="10"/>
      <c r="BJ7" s="10">
        <v>10610</v>
      </c>
      <c r="BK7" s="10">
        <v>61328</v>
      </c>
      <c r="BL7" s="10">
        <v>16210</v>
      </c>
      <c r="BM7" s="10">
        <v>220187</v>
      </c>
      <c r="BN7" s="10">
        <v>580</v>
      </c>
      <c r="BO7" s="10">
        <v>3197</v>
      </c>
      <c r="BP7" s="82">
        <f t="shared" ref="BP7:BP9" si="0">B7+D7+F7+H7+J7+L7+N7+P7+R7+T7+V7+X7+Z7+AB7+AD7+AF7+AH7+AJ7+AL7+AN7+AP7+AR7+AT7+AV7+AX7+AZ7+BB7+BD7+BF7+BH7+BJ7+BL7+BN7</f>
        <v>848621</v>
      </c>
      <c r="BQ7" s="82">
        <f t="shared" ref="BQ7:BQ9" si="1">C7+E7+G7+I7+K7+M7+O7+Q7+S7+U7+W7+Y7+AA7+AC7+AE7+AG7+AI7+AK7+AM7+AO7+AQ7+AS7+AU7+AW7+AY7+BA7+BC7+BE7+BG7+BI7+BK7+BM7+BO7</f>
        <v>3222644</v>
      </c>
    </row>
    <row r="8" spans="1:69" x14ac:dyDescent="0.25">
      <c r="A8" s="30" t="s">
        <v>289</v>
      </c>
      <c r="B8" s="10"/>
      <c r="C8" s="10"/>
      <c r="D8" s="10"/>
      <c r="E8" s="10"/>
      <c r="F8" s="10"/>
      <c r="G8" s="10"/>
      <c r="H8" s="10"/>
      <c r="I8" s="10"/>
      <c r="J8" s="10">
        <v>435628</v>
      </c>
      <c r="K8" s="10">
        <v>2561298</v>
      </c>
      <c r="L8" s="10">
        <v>64868</v>
      </c>
      <c r="M8" s="10">
        <v>302470</v>
      </c>
      <c r="N8" s="10">
        <v>135689</v>
      </c>
      <c r="O8" s="10">
        <v>408748</v>
      </c>
      <c r="P8" s="10">
        <v>-24662</v>
      </c>
      <c r="Q8" s="10">
        <v>-86430</v>
      </c>
      <c r="R8" s="10">
        <v>4166</v>
      </c>
      <c r="S8" s="10">
        <v>10318</v>
      </c>
      <c r="T8" s="10"/>
      <c r="U8" s="10"/>
      <c r="V8" s="10">
        <v>81192</v>
      </c>
      <c r="W8" s="10">
        <v>259036</v>
      </c>
      <c r="X8" s="10">
        <v>56916</v>
      </c>
      <c r="Y8" s="10">
        <v>326752</v>
      </c>
      <c r="Z8" s="10">
        <v>-275689</v>
      </c>
      <c r="AA8" s="10">
        <v>-1199800</v>
      </c>
      <c r="AB8" s="10">
        <v>274779</v>
      </c>
      <c r="AC8" s="10">
        <v>1201289</v>
      </c>
      <c r="AD8" s="10">
        <v>382565</v>
      </c>
      <c r="AE8" s="10">
        <v>1062336</v>
      </c>
      <c r="AF8" s="10">
        <v>7778</v>
      </c>
      <c r="AG8" s="10">
        <v>18673</v>
      </c>
      <c r="AH8" s="10">
        <v>47997</v>
      </c>
      <c r="AI8" s="10">
        <v>107815</v>
      </c>
      <c r="AJ8" s="86">
        <v>-37313</v>
      </c>
      <c r="AK8" s="10">
        <v>-142465</v>
      </c>
      <c r="AL8" s="10"/>
      <c r="AM8" s="10"/>
      <c r="AN8" s="10"/>
      <c r="AO8" s="10"/>
      <c r="AP8" s="155">
        <v>83511</v>
      </c>
      <c r="AQ8" s="155">
        <v>242658</v>
      </c>
      <c r="AR8" s="10">
        <v>740111</v>
      </c>
      <c r="AS8" s="10">
        <v>1777886</v>
      </c>
      <c r="AT8" s="10">
        <v>90972</v>
      </c>
      <c r="AU8" s="10">
        <v>423396</v>
      </c>
      <c r="AV8" s="10">
        <v>1389</v>
      </c>
      <c r="AW8" s="10">
        <v>5275</v>
      </c>
      <c r="AX8" s="10">
        <v>165423</v>
      </c>
      <c r="AY8" s="10">
        <v>1187090</v>
      </c>
      <c r="AZ8" s="10"/>
      <c r="BA8" s="10"/>
      <c r="BB8" s="10">
        <v>-63466</v>
      </c>
      <c r="BC8" s="10">
        <v>-261181</v>
      </c>
      <c r="BD8" s="10">
        <v>1018158</v>
      </c>
      <c r="BE8" s="10">
        <v>3626915</v>
      </c>
      <c r="BF8" s="155"/>
      <c r="BG8" s="10"/>
      <c r="BH8" s="10"/>
      <c r="BI8" s="10"/>
      <c r="BJ8" s="10">
        <v>355181</v>
      </c>
      <c r="BK8" s="10">
        <v>2384912</v>
      </c>
      <c r="BL8" s="10">
        <v>196210</v>
      </c>
      <c r="BM8" s="10">
        <v>531443</v>
      </c>
      <c r="BN8" s="10">
        <v>11374</v>
      </c>
      <c r="BO8" s="10">
        <v>89425</v>
      </c>
      <c r="BP8" s="82">
        <f t="shared" si="0"/>
        <v>3752777</v>
      </c>
      <c r="BQ8" s="82">
        <f t="shared" si="1"/>
        <v>14837859</v>
      </c>
    </row>
    <row r="9" spans="1:69" x14ac:dyDescent="0.25">
      <c r="A9" s="30" t="s">
        <v>238</v>
      </c>
      <c r="B9" s="10"/>
      <c r="C9" s="10"/>
      <c r="D9" s="10"/>
      <c r="E9" s="10"/>
      <c r="F9" s="10"/>
      <c r="G9" s="10"/>
      <c r="H9" s="10"/>
      <c r="I9" s="10"/>
      <c r="J9" s="10">
        <v>-152232</v>
      </c>
      <c r="K9" s="10">
        <v>-1442355</v>
      </c>
      <c r="L9" s="10">
        <v>-24481</v>
      </c>
      <c r="M9" s="10">
        <v>-129446</v>
      </c>
      <c r="N9" s="10">
        <v>-149180</v>
      </c>
      <c r="O9" s="10">
        <v>-99075</v>
      </c>
      <c r="P9" s="10">
        <v>-13193</v>
      </c>
      <c r="Q9" s="10">
        <v>-45952</v>
      </c>
      <c r="R9" s="10">
        <v>-808</v>
      </c>
      <c r="S9" s="10">
        <v>-2008</v>
      </c>
      <c r="T9" s="10"/>
      <c r="U9" s="10"/>
      <c r="V9" s="10">
        <v>-5757</v>
      </c>
      <c r="W9" s="10">
        <v>69630</v>
      </c>
      <c r="X9" s="10">
        <v>-45898</v>
      </c>
      <c r="Y9" s="10">
        <v>-114581</v>
      </c>
      <c r="Z9" s="10">
        <v>-77328</v>
      </c>
      <c r="AA9" s="10">
        <v>-292128</v>
      </c>
      <c r="AB9" s="10">
        <v>-30802</v>
      </c>
      <c r="AC9" s="10">
        <v>-285721</v>
      </c>
      <c r="AD9" s="10">
        <v>-252021</v>
      </c>
      <c r="AE9" s="10">
        <v>-537062</v>
      </c>
      <c r="AF9" s="10">
        <v>3278</v>
      </c>
      <c r="AG9" s="10">
        <v>27172</v>
      </c>
      <c r="AH9" s="10">
        <v>-29552</v>
      </c>
      <c r="AI9" s="10">
        <v>-32224</v>
      </c>
      <c r="AJ9" s="86">
        <v>-10823</v>
      </c>
      <c r="AK9" s="10">
        <v>-55120</v>
      </c>
      <c r="AL9" s="10"/>
      <c r="AM9" s="10"/>
      <c r="AN9" s="10"/>
      <c r="AO9" s="10"/>
      <c r="AP9" s="155">
        <v>291255</v>
      </c>
      <c r="AQ9" s="155">
        <v>911411</v>
      </c>
      <c r="AR9" s="10">
        <v>1025898</v>
      </c>
      <c r="AS9" s="10">
        <v>4321779</v>
      </c>
      <c r="AT9" s="10">
        <v>357898</v>
      </c>
      <c r="AU9" s="10">
        <v>1154102</v>
      </c>
      <c r="AV9" s="10">
        <v>90</v>
      </c>
      <c r="AW9" s="10">
        <v>396</v>
      </c>
      <c r="AX9" s="10">
        <v>-76750</v>
      </c>
      <c r="AY9" s="10">
        <v>-609529</v>
      </c>
      <c r="AZ9" s="10"/>
      <c r="BA9" s="10"/>
      <c r="BB9" s="10">
        <v>-3449</v>
      </c>
      <c r="BC9" s="10">
        <v>24180</v>
      </c>
      <c r="BD9" s="10">
        <v>-653873</v>
      </c>
      <c r="BE9" s="10">
        <v>-2257000</v>
      </c>
      <c r="BF9" s="155"/>
      <c r="BG9" s="10"/>
      <c r="BH9" s="10"/>
      <c r="BI9" s="10"/>
      <c r="BJ9" s="10">
        <v>-117370</v>
      </c>
      <c r="BK9" s="10">
        <v>-1414478</v>
      </c>
      <c r="BL9" s="10">
        <v>274506</v>
      </c>
      <c r="BM9" s="10">
        <v>1049563</v>
      </c>
      <c r="BN9" s="10">
        <v>26400</v>
      </c>
      <c r="BO9" s="10">
        <v>46840</v>
      </c>
      <c r="BP9" s="82">
        <f t="shared" si="0"/>
        <v>335808</v>
      </c>
      <c r="BQ9" s="82">
        <f t="shared" si="1"/>
        <v>288394</v>
      </c>
    </row>
    <row r="10" spans="1:69" x14ac:dyDescent="0.25">
      <c r="A10" s="28"/>
    </row>
    <row r="11" spans="1:69" x14ac:dyDescent="0.25">
      <c r="A11" s="29" t="s">
        <v>229</v>
      </c>
    </row>
    <row r="12" spans="1:69" x14ac:dyDescent="0.25">
      <c r="A12" s="3" t="s">
        <v>0</v>
      </c>
      <c r="B12" s="111" t="s">
        <v>1</v>
      </c>
      <c r="C12" s="112"/>
      <c r="D12" s="111" t="s">
        <v>2</v>
      </c>
      <c r="E12" s="112"/>
      <c r="F12" s="111" t="s">
        <v>3</v>
      </c>
      <c r="G12" s="112"/>
      <c r="H12" s="111" t="s">
        <v>295</v>
      </c>
      <c r="I12" s="112"/>
      <c r="J12" s="111" t="s">
        <v>5</v>
      </c>
      <c r="K12" s="112"/>
      <c r="L12" s="111" t="s">
        <v>6</v>
      </c>
      <c r="M12" s="112"/>
      <c r="N12" s="111" t="s">
        <v>7</v>
      </c>
      <c r="O12" s="112"/>
      <c r="P12" s="111" t="s">
        <v>309</v>
      </c>
      <c r="Q12" s="112"/>
      <c r="R12" s="111" t="s">
        <v>9</v>
      </c>
      <c r="S12" s="112"/>
      <c r="T12" s="111" t="s">
        <v>10</v>
      </c>
      <c r="U12" s="112"/>
      <c r="V12" s="111" t="s">
        <v>11</v>
      </c>
      <c r="W12" s="112"/>
      <c r="X12" s="111" t="s">
        <v>12</v>
      </c>
      <c r="Y12" s="112"/>
      <c r="Z12" s="111" t="s">
        <v>13</v>
      </c>
      <c r="AA12" s="112"/>
      <c r="AB12" s="111" t="s">
        <v>14</v>
      </c>
      <c r="AC12" s="112"/>
      <c r="AD12" s="111" t="s">
        <v>15</v>
      </c>
      <c r="AE12" s="112"/>
      <c r="AF12" s="111" t="s">
        <v>16</v>
      </c>
      <c r="AG12" s="112"/>
      <c r="AH12" s="111" t="s">
        <v>17</v>
      </c>
      <c r="AI12" s="112"/>
      <c r="AJ12" s="111" t="s">
        <v>18</v>
      </c>
      <c r="AK12" s="112"/>
      <c r="AL12" s="111" t="s">
        <v>293</v>
      </c>
      <c r="AM12" s="112"/>
      <c r="AN12" s="111" t="s">
        <v>19</v>
      </c>
      <c r="AO12" s="112"/>
      <c r="AP12" s="111" t="s">
        <v>20</v>
      </c>
      <c r="AQ12" s="112"/>
      <c r="AR12" s="111" t="s">
        <v>21</v>
      </c>
      <c r="AS12" s="112"/>
      <c r="AT12" s="111" t="s">
        <v>22</v>
      </c>
      <c r="AU12" s="112"/>
      <c r="AV12" s="111" t="s">
        <v>23</v>
      </c>
      <c r="AW12" s="112"/>
      <c r="AX12" s="111" t="s">
        <v>24</v>
      </c>
      <c r="AY12" s="112"/>
      <c r="AZ12" s="111" t="s">
        <v>25</v>
      </c>
      <c r="BA12" s="112"/>
      <c r="BB12" s="111" t="s">
        <v>26</v>
      </c>
      <c r="BC12" s="112"/>
      <c r="BD12" s="111" t="s">
        <v>27</v>
      </c>
      <c r="BE12" s="112"/>
      <c r="BF12" s="111" t="s">
        <v>28</v>
      </c>
      <c r="BG12" s="112"/>
      <c r="BH12" s="111" t="s">
        <v>29</v>
      </c>
      <c r="BI12" s="112"/>
      <c r="BJ12" s="111" t="s">
        <v>30</v>
      </c>
      <c r="BK12" s="112"/>
      <c r="BL12" s="115" t="s">
        <v>31</v>
      </c>
      <c r="BM12" s="116"/>
      <c r="BN12" s="111" t="s">
        <v>32</v>
      </c>
      <c r="BO12" s="112"/>
      <c r="BP12" s="113" t="s">
        <v>33</v>
      </c>
      <c r="BQ12" s="114"/>
    </row>
    <row r="13" spans="1:69" ht="30" x14ac:dyDescent="0.25">
      <c r="A13" s="3"/>
      <c r="B13" s="66" t="s">
        <v>298</v>
      </c>
      <c r="C13" s="67" t="s">
        <v>299</v>
      </c>
      <c r="D13" s="66" t="s">
        <v>298</v>
      </c>
      <c r="E13" s="67" t="s">
        <v>299</v>
      </c>
      <c r="F13" s="66" t="s">
        <v>298</v>
      </c>
      <c r="G13" s="67" t="s">
        <v>299</v>
      </c>
      <c r="H13" s="66" t="s">
        <v>298</v>
      </c>
      <c r="I13" s="67" t="s">
        <v>299</v>
      </c>
      <c r="J13" s="66" t="s">
        <v>298</v>
      </c>
      <c r="K13" s="67" t="s">
        <v>299</v>
      </c>
      <c r="L13" s="66" t="s">
        <v>298</v>
      </c>
      <c r="M13" s="67" t="s">
        <v>299</v>
      </c>
      <c r="N13" s="66" t="s">
        <v>298</v>
      </c>
      <c r="O13" s="67" t="s">
        <v>299</v>
      </c>
      <c r="P13" s="66" t="s">
        <v>298</v>
      </c>
      <c r="Q13" s="67" t="s">
        <v>299</v>
      </c>
      <c r="R13" s="66" t="s">
        <v>298</v>
      </c>
      <c r="S13" s="67" t="s">
        <v>299</v>
      </c>
      <c r="T13" s="66" t="s">
        <v>298</v>
      </c>
      <c r="U13" s="67" t="s">
        <v>299</v>
      </c>
      <c r="V13" s="66" t="s">
        <v>298</v>
      </c>
      <c r="W13" s="67" t="s">
        <v>299</v>
      </c>
      <c r="X13" s="66" t="s">
        <v>298</v>
      </c>
      <c r="Y13" s="67" t="s">
        <v>299</v>
      </c>
      <c r="Z13" s="66" t="s">
        <v>298</v>
      </c>
      <c r="AA13" s="67" t="s">
        <v>299</v>
      </c>
      <c r="AB13" s="66" t="s">
        <v>298</v>
      </c>
      <c r="AC13" s="67" t="s">
        <v>299</v>
      </c>
      <c r="AD13" s="66" t="s">
        <v>298</v>
      </c>
      <c r="AE13" s="67" t="s">
        <v>299</v>
      </c>
      <c r="AF13" s="66" t="s">
        <v>298</v>
      </c>
      <c r="AG13" s="67" t="s">
        <v>299</v>
      </c>
      <c r="AH13" s="66" t="s">
        <v>298</v>
      </c>
      <c r="AI13" s="67" t="s">
        <v>299</v>
      </c>
      <c r="AJ13" s="66" t="s">
        <v>298</v>
      </c>
      <c r="AK13" s="67" t="s">
        <v>299</v>
      </c>
      <c r="AL13" s="66" t="s">
        <v>298</v>
      </c>
      <c r="AM13" s="67" t="s">
        <v>299</v>
      </c>
      <c r="AN13" s="66" t="s">
        <v>298</v>
      </c>
      <c r="AO13" s="67" t="s">
        <v>299</v>
      </c>
      <c r="AP13" s="66" t="s">
        <v>298</v>
      </c>
      <c r="AQ13" s="67" t="s">
        <v>299</v>
      </c>
      <c r="AR13" s="66" t="s">
        <v>298</v>
      </c>
      <c r="AS13" s="67" t="s">
        <v>299</v>
      </c>
      <c r="AT13" s="66" t="s">
        <v>298</v>
      </c>
      <c r="AU13" s="67" t="s">
        <v>299</v>
      </c>
      <c r="AV13" s="66" t="s">
        <v>298</v>
      </c>
      <c r="AW13" s="67" t="s">
        <v>299</v>
      </c>
      <c r="AX13" s="66" t="s">
        <v>298</v>
      </c>
      <c r="AY13" s="67" t="s">
        <v>299</v>
      </c>
      <c r="AZ13" s="66" t="s">
        <v>298</v>
      </c>
      <c r="BA13" s="67" t="s">
        <v>299</v>
      </c>
      <c r="BB13" s="66" t="s">
        <v>298</v>
      </c>
      <c r="BC13" s="67" t="s">
        <v>299</v>
      </c>
      <c r="BD13" s="66" t="s">
        <v>298</v>
      </c>
      <c r="BE13" s="67" t="s">
        <v>299</v>
      </c>
      <c r="BF13" s="66" t="s">
        <v>298</v>
      </c>
      <c r="BG13" s="67" t="s">
        <v>299</v>
      </c>
      <c r="BH13" s="66" t="s">
        <v>298</v>
      </c>
      <c r="BI13" s="67" t="s">
        <v>299</v>
      </c>
      <c r="BJ13" s="66" t="s">
        <v>298</v>
      </c>
      <c r="BK13" s="67" t="s">
        <v>299</v>
      </c>
      <c r="BL13" s="66" t="s">
        <v>298</v>
      </c>
      <c r="BM13" s="67" t="s">
        <v>299</v>
      </c>
      <c r="BN13" s="66" t="s">
        <v>298</v>
      </c>
      <c r="BO13" s="67" t="s">
        <v>299</v>
      </c>
      <c r="BP13" s="66" t="s">
        <v>298</v>
      </c>
      <c r="BQ13" s="67" t="s">
        <v>299</v>
      </c>
    </row>
    <row r="14" spans="1:69" x14ac:dyDescent="0.25">
      <c r="A14" s="30" t="s">
        <v>237</v>
      </c>
      <c r="B14" s="10"/>
      <c r="C14" s="10"/>
      <c r="D14" s="10"/>
      <c r="E14" s="10"/>
      <c r="F14" s="10"/>
      <c r="G14" s="10"/>
      <c r="H14" s="10"/>
      <c r="I14" s="10"/>
      <c r="J14" s="10">
        <v>41259</v>
      </c>
      <c r="K14" s="10">
        <v>207827</v>
      </c>
      <c r="L14" s="10">
        <v>11379</v>
      </c>
      <c r="M14" s="10">
        <v>80354</v>
      </c>
      <c r="N14" s="10">
        <v>11743</v>
      </c>
      <c r="O14" s="10">
        <v>54140</v>
      </c>
      <c r="P14" s="10"/>
      <c r="Q14" s="10"/>
      <c r="R14" s="10">
        <v>452</v>
      </c>
      <c r="S14" s="10">
        <v>1149</v>
      </c>
      <c r="T14" s="10"/>
      <c r="U14" s="10"/>
      <c r="V14" s="10">
        <v>14200</v>
      </c>
      <c r="W14" s="10">
        <v>83679</v>
      </c>
      <c r="X14" s="10">
        <v>1528</v>
      </c>
      <c r="Y14" s="10">
        <v>2853</v>
      </c>
      <c r="Z14" s="10">
        <v>31116</v>
      </c>
      <c r="AA14" s="10">
        <f>1845+180992</f>
        <v>182837</v>
      </c>
      <c r="AB14" s="10">
        <v>100645</v>
      </c>
      <c r="AC14" s="10">
        <v>376252</v>
      </c>
      <c r="AD14" s="10">
        <v>29699</v>
      </c>
      <c r="AE14" s="10">
        <v>121041</v>
      </c>
      <c r="AF14" s="10"/>
      <c r="AG14" s="10"/>
      <c r="AH14" s="10">
        <v>9950</v>
      </c>
      <c r="AI14" s="10">
        <v>44521</v>
      </c>
      <c r="AJ14" s="86">
        <v>6377</v>
      </c>
      <c r="AK14" s="10">
        <v>17155</v>
      </c>
      <c r="AL14" s="10"/>
      <c r="AM14" s="10"/>
      <c r="AN14" s="10"/>
      <c r="AO14" s="10"/>
      <c r="AP14" s="155">
        <v>53525</v>
      </c>
      <c r="AQ14" s="155">
        <v>220243</v>
      </c>
      <c r="AR14" s="10">
        <v>278330</v>
      </c>
      <c r="AS14" s="10">
        <v>810870</v>
      </c>
      <c r="AT14" s="10">
        <v>81681</v>
      </c>
      <c r="AU14" s="10">
        <v>324064</v>
      </c>
      <c r="AV14" s="10"/>
      <c r="AW14" s="10">
        <v>-11</v>
      </c>
      <c r="AX14" s="10">
        <v>4786</v>
      </c>
      <c r="AY14" s="10">
        <v>119325</v>
      </c>
      <c r="AZ14" s="10"/>
      <c r="BA14" s="10"/>
      <c r="BB14" s="10">
        <v>14605</v>
      </c>
      <c r="BC14" s="10">
        <v>61677</v>
      </c>
      <c r="BD14" s="10">
        <v>7548</v>
      </c>
      <c r="BE14" s="10">
        <v>37091</v>
      </c>
      <c r="BF14" s="155"/>
      <c r="BG14" s="10"/>
      <c r="BH14" s="10"/>
      <c r="BI14" s="10"/>
      <c r="BJ14" s="10">
        <v>91215</v>
      </c>
      <c r="BK14" s="10">
        <v>472179</v>
      </c>
      <c r="BL14" s="10">
        <v>74384</v>
      </c>
      <c r="BM14" s="10">
        <v>271004</v>
      </c>
      <c r="BN14" s="10">
        <v>3109</v>
      </c>
      <c r="BO14" s="10">
        <v>15927</v>
      </c>
      <c r="BP14" s="82">
        <f t="shared" ref="BP14:BP17" si="2">B14+D14+F14+H14+J14+L14+N14+P14+R14+T14+V14+X14+Z14+AB14+AD14+AF14+AH14+AJ14+AL14+AN14+AP14+AR14+AT14+AV14+AX14+AZ14+BB14+BD14+BF14+BH14+BJ14+BL14+BN14</f>
        <v>867531</v>
      </c>
      <c r="BQ14" s="82">
        <f t="shared" ref="BQ14:BQ17" si="3">C14+E14+G14+I14+K14+M14+O14+Q14+S14+U14+W14+Y14+AA14+AC14+AE14+AG14+AI14+AK14+AM14+AO14+AQ14+AS14+AU14+AW14+AY14+BA14+BC14+BE14+BG14+BI14+BK14+BM14+BO14</f>
        <v>3504177</v>
      </c>
    </row>
    <row r="15" spans="1:69" x14ac:dyDescent="0.25">
      <c r="A15" s="30" t="s">
        <v>288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>
        <v>129</v>
      </c>
      <c r="M15" s="10">
        <v>600</v>
      </c>
      <c r="N15" s="10"/>
      <c r="O15" s="10"/>
      <c r="P15" s="10"/>
      <c r="Q15" s="10"/>
      <c r="R15" s="10"/>
      <c r="S15" s="10"/>
      <c r="T15" s="10"/>
      <c r="U15" s="10"/>
      <c r="V15" s="10">
        <v>352</v>
      </c>
      <c r="W15" s="10">
        <v>1757</v>
      </c>
      <c r="X15" s="10">
        <v>387</v>
      </c>
      <c r="Y15" s="10">
        <v>155</v>
      </c>
      <c r="Z15" s="10">
        <v>995</v>
      </c>
      <c r="AA15" s="10">
        <v>4652</v>
      </c>
      <c r="AB15" s="10">
        <v>1395</v>
      </c>
      <c r="AC15" s="10">
        <v>24148</v>
      </c>
      <c r="AD15" s="10">
        <v>-51</v>
      </c>
      <c r="AE15" s="10">
        <v>118</v>
      </c>
      <c r="AF15" s="10"/>
      <c r="AG15" s="10"/>
      <c r="AH15" s="10"/>
      <c r="AI15" s="10"/>
      <c r="AJ15" s="86">
        <v>336</v>
      </c>
      <c r="AK15" s="10">
        <v>3457</v>
      </c>
      <c r="AL15" s="10"/>
      <c r="AM15" s="10"/>
      <c r="AN15" s="10"/>
      <c r="AO15" s="10"/>
      <c r="AP15" s="155">
        <v>2603</v>
      </c>
      <c r="AQ15" s="155">
        <v>6695</v>
      </c>
      <c r="AR15" s="10">
        <v>40074</v>
      </c>
      <c r="AS15" s="10">
        <v>118162</v>
      </c>
      <c r="AT15" s="10">
        <v>1266</v>
      </c>
      <c r="AU15" s="10">
        <v>28260</v>
      </c>
      <c r="AV15" s="10"/>
      <c r="AW15" s="10"/>
      <c r="AX15" s="10"/>
      <c r="AY15" s="10"/>
      <c r="AZ15" s="10"/>
      <c r="BA15" s="10"/>
      <c r="BB15" s="10">
        <v>48</v>
      </c>
      <c r="BC15" s="10">
        <v>111</v>
      </c>
      <c r="BD15" s="10"/>
      <c r="BE15" s="10"/>
      <c r="BF15" s="155"/>
      <c r="BG15" s="10"/>
      <c r="BH15" s="10"/>
      <c r="BI15" s="10"/>
      <c r="BJ15" s="10">
        <v>12430</v>
      </c>
      <c r="BK15" s="10">
        <v>25126</v>
      </c>
      <c r="BL15" s="10">
        <v>4700</v>
      </c>
      <c r="BM15" s="10">
        <v>18298</v>
      </c>
      <c r="BN15" s="10"/>
      <c r="BO15" s="10"/>
      <c r="BP15" s="82">
        <f t="shared" si="2"/>
        <v>64664</v>
      </c>
      <c r="BQ15" s="82">
        <f t="shared" si="3"/>
        <v>231539</v>
      </c>
    </row>
    <row r="16" spans="1:69" x14ac:dyDescent="0.25">
      <c r="A16" s="30" t="s">
        <v>289</v>
      </c>
      <c r="B16" s="10"/>
      <c r="C16" s="10"/>
      <c r="D16" s="10"/>
      <c r="E16" s="10"/>
      <c r="F16" s="10"/>
      <c r="G16" s="10"/>
      <c r="H16" s="10"/>
      <c r="I16" s="10"/>
      <c r="J16" s="10">
        <v>21581</v>
      </c>
      <c r="K16" s="10">
        <v>56769</v>
      </c>
      <c r="L16" s="10">
        <v>5708</v>
      </c>
      <c r="M16" s="10">
        <v>23682</v>
      </c>
      <c r="N16" s="10">
        <v>27560</v>
      </c>
      <c r="O16" s="10">
        <v>99508</v>
      </c>
      <c r="P16" s="10"/>
      <c r="Q16" s="10"/>
      <c r="R16" s="10">
        <v>428</v>
      </c>
      <c r="S16" s="10">
        <v>1310</v>
      </c>
      <c r="T16" s="10"/>
      <c r="U16" s="10"/>
      <c r="V16" s="10">
        <v>5000</v>
      </c>
      <c r="W16" s="10">
        <v>12889</v>
      </c>
      <c r="X16" s="10">
        <v>1019</v>
      </c>
      <c r="Y16" s="10">
        <v>2953</v>
      </c>
      <c r="Z16" s="10">
        <f>-699-24704</f>
        <v>-25403</v>
      </c>
      <c r="AA16" s="10">
        <f>-3195-88975</f>
        <v>-92170</v>
      </c>
      <c r="AB16" s="10">
        <v>18867</v>
      </c>
      <c r="AC16" s="10">
        <v>74507</v>
      </c>
      <c r="AD16" s="10">
        <v>32154</v>
      </c>
      <c r="AE16" s="10">
        <v>137295</v>
      </c>
      <c r="AF16" s="10"/>
      <c r="AG16" s="10"/>
      <c r="AH16" s="10">
        <v>419</v>
      </c>
      <c r="AI16" s="10">
        <v>1949</v>
      </c>
      <c r="AJ16" s="86">
        <v>-11213</v>
      </c>
      <c r="AK16" s="10">
        <v>-29870</v>
      </c>
      <c r="AL16" s="10"/>
      <c r="AM16" s="10"/>
      <c r="AN16" s="10"/>
      <c r="AO16" s="10"/>
      <c r="AP16" s="155">
        <v>61788</v>
      </c>
      <c r="AQ16" s="155">
        <v>140400</v>
      </c>
      <c r="AR16" s="10">
        <v>65257</v>
      </c>
      <c r="AS16" s="10">
        <v>201945</v>
      </c>
      <c r="AT16" s="10">
        <v>31457</v>
      </c>
      <c r="AU16" s="10">
        <v>139553</v>
      </c>
      <c r="AV16" s="10"/>
      <c r="AW16" s="10">
        <v>1</v>
      </c>
      <c r="AX16" s="10">
        <v>26409</v>
      </c>
      <c r="AY16" s="10">
        <v>150426</v>
      </c>
      <c r="AZ16" s="10"/>
      <c r="BA16" s="10"/>
      <c r="BB16" s="10">
        <v>-5646</v>
      </c>
      <c r="BC16" s="10">
        <v>-34854</v>
      </c>
      <c r="BD16" s="10">
        <v>1077</v>
      </c>
      <c r="BE16" s="10">
        <v>3136</v>
      </c>
      <c r="BF16" s="155"/>
      <c r="BG16" s="10"/>
      <c r="BH16" s="10"/>
      <c r="BI16" s="10"/>
      <c r="BJ16" s="10">
        <v>17565</v>
      </c>
      <c r="BK16" s="10">
        <v>48256</v>
      </c>
      <c r="BL16" s="10">
        <v>11555</v>
      </c>
      <c r="BM16" s="10">
        <v>68373</v>
      </c>
      <c r="BN16" s="10">
        <f>4068+1930</f>
        <v>5998</v>
      </c>
      <c r="BO16" s="10">
        <f>14065+14847</f>
        <v>28912</v>
      </c>
      <c r="BP16" s="82">
        <f t="shared" si="2"/>
        <v>291580</v>
      </c>
      <c r="BQ16" s="82">
        <f t="shared" si="3"/>
        <v>1034970</v>
      </c>
    </row>
    <row r="17" spans="1:69" x14ac:dyDescent="0.25">
      <c r="A17" s="30" t="s">
        <v>238</v>
      </c>
      <c r="B17" s="10"/>
      <c r="C17" s="10"/>
      <c r="D17" s="10"/>
      <c r="E17" s="10"/>
      <c r="F17" s="10"/>
      <c r="G17" s="10"/>
      <c r="H17" s="10"/>
      <c r="I17" s="10"/>
      <c r="J17" s="10">
        <v>19678</v>
      </c>
      <c r="K17" s="10">
        <v>151058</v>
      </c>
      <c r="L17" s="10">
        <v>5800</v>
      </c>
      <c r="M17" s="10">
        <v>57272</v>
      </c>
      <c r="N17" s="10">
        <v>-15817</v>
      </c>
      <c r="O17" s="10">
        <v>-45368</v>
      </c>
      <c r="P17" s="10"/>
      <c r="Q17" s="10"/>
      <c r="R17" s="10">
        <v>24</v>
      </c>
      <c r="S17" s="10">
        <v>-161</v>
      </c>
      <c r="T17" s="10"/>
      <c r="U17" s="10"/>
      <c r="V17" s="10">
        <v>9552</v>
      </c>
      <c r="W17" s="10">
        <v>72547</v>
      </c>
      <c r="X17" s="10">
        <v>896</v>
      </c>
      <c r="Y17" s="10">
        <v>55</v>
      </c>
      <c r="Z17" s="10">
        <f>-699+7408</f>
        <v>6709</v>
      </c>
      <c r="AA17" s="10">
        <f>-1350+96669</f>
        <v>95319</v>
      </c>
      <c r="AB17" s="10">
        <v>83173</v>
      </c>
      <c r="AC17" s="10">
        <v>325893</v>
      </c>
      <c r="AD17" s="10">
        <v>-2506</v>
      </c>
      <c r="AE17" s="10">
        <v>-16136</v>
      </c>
      <c r="AF17" s="10"/>
      <c r="AG17" s="10"/>
      <c r="AH17" s="10">
        <v>9531</v>
      </c>
      <c r="AI17" s="10">
        <v>42572</v>
      </c>
      <c r="AJ17" s="86">
        <v>-4500</v>
      </c>
      <c r="AK17" s="10">
        <v>-9258</v>
      </c>
      <c r="AL17" s="10"/>
      <c r="AM17" s="10"/>
      <c r="AN17" s="10"/>
      <c r="AO17" s="10"/>
      <c r="AP17" s="155">
        <v>-5660</v>
      </c>
      <c r="AQ17" s="155">
        <v>86538</v>
      </c>
      <c r="AR17" s="10">
        <v>253146</v>
      </c>
      <c r="AS17" s="10">
        <v>727087</v>
      </c>
      <c r="AT17" s="10">
        <v>51490</v>
      </c>
      <c r="AU17" s="10">
        <v>212771</v>
      </c>
      <c r="AV17" s="10"/>
      <c r="AW17" s="10">
        <v>-12</v>
      </c>
      <c r="AX17" s="10">
        <v>-21623</v>
      </c>
      <c r="AY17" s="10">
        <v>-31101</v>
      </c>
      <c r="AZ17" s="10"/>
      <c r="BA17" s="10"/>
      <c r="BB17" s="10">
        <v>9007</v>
      </c>
      <c r="BC17" s="10">
        <v>26934</v>
      </c>
      <c r="BD17" s="10">
        <v>6471</v>
      </c>
      <c r="BE17" s="10">
        <v>33955</v>
      </c>
      <c r="BF17" s="155"/>
      <c r="BG17" s="10"/>
      <c r="BH17" s="10"/>
      <c r="BI17" s="10"/>
      <c r="BJ17" s="10">
        <v>86080</v>
      </c>
      <c r="BK17" s="10">
        <v>449049</v>
      </c>
      <c r="BL17" s="10">
        <v>67529</v>
      </c>
      <c r="BM17" s="10">
        <v>220929</v>
      </c>
      <c r="BN17" s="10">
        <f>-4068+1179</f>
        <v>-2889</v>
      </c>
      <c r="BO17" s="10">
        <f>-14065+1080</f>
        <v>-12985</v>
      </c>
      <c r="BP17" s="82">
        <f t="shared" si="2"/>
        <v>556091</v>
      </c>
      <c r="BQ17" s="82">
        <f t="shared" si="3"/>
        <v>2386958</v>
      </c>
    </row>
    <row r="18" spans="1:69" x14ac:dyDescent="0.25">
      <c r="A18" s="28"/>
    </row>
    <row r="19" spans="1:69" x14ac:dyDescent="0.25">
      <c r="A19" s="29" t="s">
        <v>230</v>
      </c>
    </row>
    <row r="20" spans="1:69" x14ac:dyDescent="0.25">
      <c r="A20" s="3" t="s">
        <v>0</v>
      </c>
      <c r="B20" s="111" t="s">
        <v>1</v>
      </c>
      <c r="C20" s="112"/>
      <c r="D20" s="111" t="s">
        <v>2</v>
      </c>
      <c r="E20" s="112"/>
      <c r="F20" s="111" t="s">
        <v>3</v>
      </c>
      <c r="G20" s="112"/>
      <c r="H20" s="111" t="s">
        <v>295</v>
      </c>
      <c r="I20" s="112"/>
      <c r="J20" s="111" t="s">
        <v>5</v>
      </c>
      <c r="K20" s="112"/>
      <c r="L20" s="111" t="s">
        <v>6</v>
      </c>
      <c r="M20" s="112"/>
      <c r="N20" s="111" t="s">
        <v>7</v>
      </c>
      <c r="O20" s="112"/>
      <c r="P20" s="111" t="s">
        <v>309</v>
      </c>
      <c r="Q20" s="112"/>
      <c r="R20" s="111" t="s">
        <v>9</v>
      </c>
      <c r="S20" s="112"/>
      <c r="T20" s="111" t="s">
        <v>10</v>
      </c>
      <c r="U20" s="112"/>
      <c r="V20" s="111" t="s">
        <v>11</v>
      </c>
      <c r="W20" s="112"/>
      <c r="X20" s="111" t="s">
        <v>12</v>
      </c>
      <c r="Y20" s="112"/>
      <c r="Z20" s="111" t="s">
        <v>13</v>
      </c>
      <c r="AA20" s="112"/>
      <c r="AB20" s="111" t="s">
        <v>14</v>
      </c>
      <c r="AC20" s="112"/>
      <c r="AD20" s="111" t="s">
        <v>15</v>
      </c>
      <c r="AE20" s="112"/>
      <c r="AF20" s="111" t="s">
        <v>16</v>
      </c>
      <c r="AG20" s="112"/>
      <c r="AH20" s="111" t="s">
        <v>17</v>
      </c>
      <c r="AI20" s="112"/>
      <c r="AJ20" s="111" t="s">
        <v>18</v>
      </c>
      <c r="AK20" s="112"/>
      <c r="AL20" s="111" t="s">
        <v>293</v>
      </c>
      <c r="AM20" s="112"/>
      <c r="AN20" s="111" t="s">
        <v>19</v>
      </c>
      <c r="AO20" s="112"/>
      <c r="AP20" s="111" t="s">
        <v>20</v>
      </c>
      <c r="AQ20" s="112"/>
      <c r="AR20" s="111" t="s">
        <v>21</v>
      </c>
      <c r="AS20" s="112"/>
      <c r="AT20" s="111" t="s">
        <v>22</v>
      </c>
      <c r="AU20" s="112"/>
      <c r="AV20" s="111" t="s">
        <v>23</v>
      </c>
      <c r="AW20" s="112"/>
      <c r="AX20" s="111" t="s">
        <v>24</v>
      </c>
      <c r="AY20" s="112"/>
      <c r="AZ20" s="111" t="s">
        <v>25</v>
      </c>
      <c r="BA20" s="112"/>
      <c r="BB20" s="111" t="s">
        <v>26</v>
      </c>
      <c r="BC20" s="112"/>
      <c r="BD20" s="111" t="s">
        <v>27</v>
      </c>
      <c r="BE20" s="112"/>
      <c r="BF20" s="111" t="s">
        <v>28</v>
      </c>
      <c r="BG20" s="112"/>
      <c r="BH20" s="111" t="s">
        <v>29</v>
      </c>
      <c r="BI20" s="112"/>
      <c r="BJ20" s="111" t="s">
        <v>30</v>
      </c>
      <c r="BK20" s="112"/>
      <c r="BL20" s="115" t="s">
        <v>31</v>
      </c>
      <c r="BM20" s="116"/>
      <c r="BN20" s="111" t="s">
        <v>32</v>
      </c>
      <c r="BO20" s="112"/>
      <c r="BP20" s="113" t="s">
        <v>33</v>
      </c>
      <c r="BQ20" s="114"/>
    </row>
    <row r="21" spans="1:69" ht="30" x14ac:dyDescent="0.25">
      <c r="A21" s="3"/>
      <c r="B21" s="66" t="s">
        <v>298</v>
      </c>
      <c r="C21" s="67" t="s">
        <v>299</v>
      </c>
      <c r="D21" s="66" t="s">
        <v>298</v>
      </c>
      <c r="E21" s="67" t="s">
        <v>299</v>
      </c>
      <c r="F21" s="66" t="s">
        <v>298</v>
      </c>
      <c r="G21" s="67" t="s">
        <v>299</v>
      </c>
      <c r="H21" s="66" t="s">
        <v>298</v>
      </c>
      <c r="I21" s="67" t="s">
        <v>299</v>
      </c>
      <c r="J21" s="66" t="s">
        <v>298</v>
      </c>
      <c r="K21" s="67" t="s">
        <v>299</v>
      </c>
      <c r="L21" s="66" t="s">
        <v>298</v>
      </c>
      <c r="M21" s="67" t="s">
        <v>299</v>
      </c>
      <c r="N21" s="66" t="s">
        <v>298</v>
      </c>
      <c r="O21" s="67" t="s">
        <v>299</v>
      </c>
      <c r="P21" s="66" t="s">
        <v>298</v>
      </c>
      <c r="Q21" s="67" t="s">
        <v>299</v>
      </c>
      <c r="R21" s="66" t="s">
        <v>298</v>
      </c>
      <c r="S21" s="67" t="s">
        <v>299</v>
      </c>
      <c r="T21" s="66" t="s">
        <v>298</v>
      </c>
      <c r="U21" s="67" t="s">
        <v>299</v>
      </c>
      <c r="V21" s="66" t="s">
        <v>298</v>
      </c>
      <c r="W21" s="67" t="s">
        <v>299</v>
      </c>
      <c r="X21" s="66" t="s">
        <v>298</v>
      </c>
      <c r="Y21" s="67" t="s">
        <v>299</v>
      </c>
      <c r="Z21" s="66" t="s">
        <v>298</v>
      </c>
      <c r="AA21" s="67" t="s">
        <v>299</v>
      </c>
      <c r="AB21" s="66" t="s">
        <v>298</v>
      </c>
      <c r="AC21" s="67" t="s">
        <v>299</v>
      </c>
      <c r="AD21" s="66" t="s">
        <v>298</v>
      </c>
      <c r="AE21" s="67" t="s">
        <v>299</v>
      </c>
      <c r="AF21" s="66" t="s">
        <v>298</v>
      </c>
      <c r="AG21" s="67" t="s">
        <v>299</v>
      </c>
      <c r="AH21" s="66" t="s">
        <v>298</v>
      </c>
      <c r="AI21" s="67" t="s">
        <v>299</v>
      </c>
      <c r="AJ21" s="66" t="s">
        <v>298</v>
      </c>
      <c r="AK21" s="67" t="s">
        <v>299</v>
      </c>
      <c r="AL21" s="66" t="s">
        <v>298</v>
      </c>
      <c r="AM21" s="67" t="s">
        <v>299</v>
      </c>
      <c r="AN21" s="66" t="s">
        <v>298</v>
      </c>
      <c r="AO21" s="67" t="s">
        <v>299</v>
      </c>
      <c r="AP21" s="66" t="s">
        <v>298</v>
      </c>
      <c r="AQ21" s="67" t="s">
        <v>299</v>
      </c>
      <c r="AR21" s="66" t="s">
        <v>298</v>
      </c>
      <c r="AS21" s="67" t="s">
        <v>299</v>
      </c>
      <c r="AT21" s="66" t="s">
        <v>298</v>
      </c>
      <c r="AU21" s="67" t="s">
        <v>299</v>
      </c>
      <c r="AV21" s="66" t="s">
        <v>298</v>
      </c>
      <c r="AW21" s="67" t="s">
        <v>299</v>
      </c>
      <c r="AX21" s="66" t="s">
        <v>298</v>
      </c>
      <c r="AY21" s="67" t="s">
        <v>299</v>
      </c>
      <c r="AZ21" s="66" t="s">
        <v>298</v>
      </c>
      <c r="BA21" s="67" t="s">
        <v>299</v>
      </c>
      <c r="BB21" s="66" t="s">
        <v>298</v>
      </c>
      <c r="BC21" s="67" t="s">
        <v>299</v>
      </c>
      <c r="BD21" s="66" t="s">
        <v>298</v>
      </c>
      <c r="BE21" s="67" t="s">
        <v>299</v>
      </c>
      <c r="BF21" s="66" t="s">
        <v>298</v>
      </c>
      <c r="BG21" s="67" t="s">
        <v>299</v>
      </c>
      <c r="BH21" s="66" t="s">
        <v>298</v>
      </c>
      <c r="BI21" s="67" t="s">
        <v>299</v>
      </c>
      <c r="BJ21" s="66" t="s">
        <v>298</v>
      </c>
      <c r="BK21" s="67" t="s">
        <v>299</v>
      </c>
      <c r="BL21" s="66" t="s">
        <v>298</v>
      </c>
      <c r="BM21" s="67" t="s">
        <v>299</v>
      </c>
      <c r="BN21" s="66" t="s">
        <v>298</v>
      </c>
      <c r="BO21" s="67" t="s">
        <v>299</v>
      </c>
      <c r="BP21" s="66" t="s">
        <v>298</v>
      </c>
      <c r="BQ21" s="67" t="s">
        <v>299</v>
      </c>
    </row>
    <row r="22" spans="1:69" x14ac:dyDescent="0.25">
      <c r="A22" s="30" t="s">
        <v>237</v>
      </c>
      <c r="B22" s="10">
        <v>16911</v>
      </c>
      <c r="C22" s="10">
        <v>47148</v>
      </c>
      <c r="D22" s="10"/>
      <c r="E22" s="10"/>
      <c r="F22" s="10"/>
      <c r="G22" s="10"/>
      <c r="H22" s="10"/>
      <c r="I22" s="10"/>
      <c r="J22" s="10">
        <v>819524</v>
      </c>
      <c r="K22" s="10">
        <v>3722619</v>
      </c>
      <c r="L22" s="10">
        <v>418699</v>
      </c>
      <c r="M22" s="10">
        <v>1640100</v>
      </c>
      <c r="N22" s="10">
        <v>544965</v>
      </c>
      <c r="O22" s="10">
        <v>2164454</v>
      </c>
      <c r="P22" s="10">
        <v>3896</v>
      </c>
      <c r="Q22" s="10">
        <v>40252</v>
      </c>
      <c r="R22" s="10">
        <v>38476</v>
      </c>
      <c r="S22" s="10">
        <v>80281</v>
      </c>
      <c r="T22" s="10"/>
      <c r="U22" s="10"/>
      <c r="V22" s="10">
        <v>258077</v>
      </c>
      <c r="W22" s="10">
        <v>883298</v>
      </c>
      <c r="X22" s="10">
        <v>122622</v>
      </c>
      <c r="Y22" s="10">
        <v>593224</v>
      </c>
      <c r="Z22" s="10">
        <f>84451+644428</f>
        <v>728879</v>
      </c>
      <c r="AA22" s="10">
        <f>247466+2800957</f>
        <v>3048423</v>
      </c>
      <c r="AB22" s="10">
        <v>1908245</v>
      </c>
      <c r="AC22" s="10">
        <v>7290876</v>
      </c>
      <c r="AD22" s="10">
        <v>911686</v>
      </c>
      <c r="AE22" s="10">
        <v>3437043</v>
      </c>
      <c r="AF22" s="10">
        <v>63582</v>
      </c>
      <c r="AG22" s="10">
        <v>226106</v>
      </c>
      <c r="AH22" s="10">
        <f>6055+301128</f>
        <v>307183</v>
      </c>
      <c r="AI22" s="10">
        <f>14211+1167712</f>
        <v>1181923</v>
      </c>
      <c r="AJ22" s="86">
        <v>139430</v>
      </c>
      <c r="AK22" s="10">
        <v>559490</v>
      </c>
      <c r="AL22" s="10"/>
      <c r="AM22" s="10"/>
      <c r="AN22" s="10"/>
      <c r="AO22" s="10"/>
      <c r="AP22" s="155">
        <v>1228989</v>
      </c>
      <c r="AQ22" s="155">
        <v>4700927</v>
      </c>
      <c r="AR22" s="10">
        <v>2792691</v>
      </c>
      <c r="AS22" s="10">
        <v>10505703</v>
      </c>
      <c r="AT22" s="10">
        <v>1241935</v>
      </c>
      <c r="AU22" s="10">
        <v>3390497</v>
      </c>
      <c r="AV22" s="10">
        <f>6817+9171</f>
        <v>15988</v>
      </c>
      <c r="AW22" s="10">
        <f>9338+12004</f>
        <v>21342</v>
      </c>
      <c r="AX22" s="10">
        <v>470868</v>
      </c>
      <c r="AY22" s="10">
        <v>2383492</v>
      </c>
      <c r="AZ22" s="10"/>
      <c r="BA22" s="10"/>
      <c r="BB22" s="10">
        <v>531858</v>
      </c>
      <c r="BC22" s="10">
        <v>2217288</v>
      </c>
      <c r="BD22" s="10">
        <v>454976</v>
      </c>
      <c r="BE22" s="10">
        <v>1534025</v>
      </c>
      <c r="BF22" s="155"/>
      <c r="BG22" s="10"/>
      <c r="BH22" s="10"/>
      <c r="BI22" s="10"/>
      <c r="BJ22" s="10">
        <v>739972</v>
      </c>
      <c r="BK22" s="10">
        <v>3462581</v>
      </c>
      <c r="BL22" s="10">
        <v>1795272</v>
      </c>
      <c r="BM22" s="10">
        <v>4421623</v>
      </c>
      <c r="BN22" s="10">
        <f>7529+268893</f>
        <v>276422</v>
      </c>
      <c r="BO22" s="10">
        <f>14939+809936</f>
        <v>824875</v>
      </c>
      <c r="BP22" s="82">
        <f t="shared" ref="BP22:BP25" si="4">B22+D22+F22+H22+J22+L22+N22+P22+R22+T22+V22+X22+Z22+AB22+AD22+AF22+AH22+AJ22+AL22+AN22+AP22+AR22+AT22+AV22+AX22+AZ22+BB22+BD22+BF22+BH22+BJ22+BL22+BN22</f>
        <v>15831146</v>
      </c>
      <c r="BQ22" s="82">
        <f t="shared" ref="BQ22:BQ25" si="5">C22+E22+G22+I22+K22+M22+O22+Q22+S22+U22+W22+Y22+AA22+AC22+AE22+AG22+AI22+AK22+AM22+AO22+AQ22+AS22+AU22+AW22+AY22+BA22+BC22+BE22+BG22+BI22+BK22+BM22+BO22</f>
        <v>58377590</v>
      </c>
    </row>
    <row r="23" spans="1:69" x14ac:dyDescent="0.25">
      <c r="A23" s="30" t="s">
        <v>288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>
        <v>387697</v>
      </c>
      <c r="Y23" s="10">
        <v>387697</v>
      </c>
      <c r="Z23" s="10"/>
      <c r="AA23" s="10"/>
      <c r="AB23" s="10">
        <v>9794</v>
      </c>
      <c r="AC23" s="10">
        <v>35007</v>
      </c>
      <c r="AD23" s="10"/>
      <c r="AE23" s="10"/>
      <c r="AF23" s="10"/>
      <c r="AG23" s="10"/>
      <c r="AH23" s="10"/>
      <c r="AI23" s="10"/>
      <c r="AJ23" s="86"/>
      <c r="AK23" s="10"/>
      <c r="AL23" s="10"/>
      <c r="AM23" s="10"/>
      <c r="AN23" s="10"/>
      <c r="AO23" s="10"/>
      <c r="AP23" s="155">
        <v>-7</v>
      </c>
      <c r="AQ23" s="155">
        <v>-50</v>
      </c>
      <c r="AR23" s="10">
        <v>1249</v>
      </c>
      <c r="AS23" s="10">
        <v>3592</v>
      </c>
      <c r="AT23" s="10">
        <v>71</v>
      </c>
      <c r="AU23" s="10">
        <v>362</v>
      </c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55"/>
      <c r="BG23" s="10"/>
      <c r="BH23" s="10"/>
      <c r="BI23" s="10"/>
      <c r="BJ23" s="10"/>
      <c r="BK23" s="10"/>
      <c r="BL23" s="10">
        <v>0</v>
      </c>
      <c r="BM23" s="10">
        <v>0</v>
      </c>
      <c r="BN23" s="10"/>
      <c r="BO23" s="10"/>
      <c r="BP23" s="82">
        <f t="shared" si="4"/>
        <v>398804</v>
      </c>
      <c r="BQ23" s="82">
        <f t="shared" si="5"/>
        <v>426608</v>
      </c>
    </row>
    <row r="24" spans="1:69" x14ac:dyDescent="0.25">
      <c r="A24" s="30" t="s">
        <v>289</v>
      </c>
      <c r="B24" s="10">
        <v>73581</v>
      </c>
      <c r="C24" s="10">
        <v>137808</v>
      </c>
      <c r="D24" s="10"/>
      <c r="E24" s="10"/>
      <c r="F24" s="10"/>
      <c r="G24" s="10"/>
      <c r="H24" s="10"/>
      <c r="I24" s="10"/>
      <c r="J24" s="10">
        <v>55244</v>
      </c>
      <c r="K24" s="10">
        <v>72641</v>
      </c>
      <c r="L24" s="10">
        <v>24759</v>
      </c>
      <c r="M24" s="10">
        <v>161122</v>
      </c>
      <c r="N24" s="10">
        <v>444221</v>
      </c>
      <c r="O24" s="10">
        <v>1678759</v>
      </c>
      <c r="P24" s="10">
        <v>-273</v>
      </c>
      <c r="Q24" s="10">
        <v>-2984</v>
      </c>
      <c r="R24" s="10">
        <v>2115</v>
      </c>
      <c r="S24" s="10">
        <v>4488</v>
      </c>
      <c r="T24" s="10"/>
      <c r="U24" s="10"/>
      <c r="V24" s="10">
        <v>17532</v>
      </c>
      <c r="W24" s="10">
        <v>61596</v>
      </c>
      <c r="X24" s="10">
        <v>314299</v>
      </c>
      <c r="Y24" s="10">
        <v>1068630</v>
      </c>
      <c r="Z24" s="10">
        <f>-437849-179296</f>
        <v>-617145</v>
      </c>
      <c r="AA24" s="10">
        <f>-1342193-639546</f>
        <v>-1981739</v>
      </c>
      <c r="AB24" s="10">
        <v>255065</v>
      </c>
      <c r="AC24" s="10">
        <v>1610372</v>
      </c>
      <c r="AD24" s="10">
        <v>385964</v>
      </c>
      <c r="AE24" s="10">
        <v>1518987</v>
      </c>
      <c r="AF24" s="10">
        <v>3731</v>
      </c>
      <c r="AG24" s="10">
        <v>12920</v>
      </c>
      <c r="AH24" s="10">
        <f>3027+11798</f>
        <v>14825</v>
      </c>
      <c r="AI24" s="10">
        <f>11253+44768</f>
        <v>56021</v>
      </c>
      <c r="AJ24" s="86">
        <v>-216175</v>
      </c>
      <c r="AK24" s="10">
        <v>-1043870</v>
      </c>
      <c r="AL24" s="10"/>
      <c r="AM24" s="10"/>
      <c r="AN24" s="10"/>
      <c r="AO24" s="10"/>
      <c r="AP24" s="155">
        <v>63009</v>
      </c>
      <c r="AQ24" s="155">
        <v>681851</v>
      </c>
      <c r="AR24" s="10">
        <v>95103</v>
      </c>
      <c r="AS24" s="10">
        <v>362878</v>
      </c>
      <c r="AT24" s="10">
        <v>-110447</v>
      </c>
      <c r="AU24" s="10">
        <v>178347</v>
      </c>
      <c r="AV24" s="10">
        <f>1053+579</f>
        <v>1632</v>
      </c>
      <c r="AW24" s="10">
        <f>608+2406</f>
        <v>3014</v>
      </c>
      <c r="AX24" s="10">
        <v>755788</v>
      </c>
      <c r="AY24" s="10">
        <v>3159093</v>
      </c>
      <c r="AZ24" s="10"/>
      <c r="BA24" s="10"/>
      <c r="BB24" s="10">
        <v>-39802</v>
      </c>
      <c r="BC24" s="10">
        <v>-680861</v>
      </c>
      <c r="BD24" s="10">
        <v>670377</v>
      </c>
      <c r="BE24" s="10">
        <v>1043329</v>
      </c>
      <c r="BF24" s="155"/>
      <c r="BG24" s="10"/>
      <c r="BH24" s="10"/>
      <c r="BI24" s="10"/>
      <c r="BJ24" s="10">
        <v>233423</v>
      </c>
      <c r="BK24" s="10">
        <v>1526599</v>
      </c>
      <c r="BL24" s="10">
        <v>60184</v>
      </c>
      <c r="BM24" s="10">
        <v>244516</v>
      </c>
      <c r="BN24" s="10">
        <f>4816+9388</f>
        <v>14204</v>
      </c>
      <c r="BO24" s="10">
        <f>19103+29172</f>
        <v>48275</v>
      </c>
      <c r="BP24" s="82">
        <f t="shared" si="4"/>
        <v>2501214</v>
      </c>
      <c r="BQ24" s="82">
        <f t="shared" si="5"/>
        <v>9921792</v>
      </c>
    </row>
    <row r="25" spans="1:69" x14ac:dyDescent="0.25">
      <c r="A25" s="30" t="s">
        <v>238</v>
      </c>
      <c r="B25" s="10">
        <v>-56670</v>
      </c>
      <c r="C25" s="10">
        <v>-90660</v>
      </c>
      <c r="D25" s="10"/>
      <c r="E25" s="10"/>
      <c r="F25" s="10"/>
      <c r="G25" s="10"/>
      <c r="H25" s="10"/>
      <c r="I25" s="10"/>
      <c r="J25" s="10">
        <v>764280</v>
      </c>
      <c r="K25" s="10">
        <v>3649978</v>
      </c>
      <c r="L25" s="10">
        <v>393941</v>
      </c>
      <c r="M25" s="10">
        <v>1478978</v>
      </c>
      <c r="N25" s="10">
        <v>100744</v>
      </c>
      <c r="O25" s="10">
        <v>485695</v>
      </c>
      <c r="P25" s="10">
        <v>3623</v>
      </c>
      <c r="Q25" s="10">
        <v>37268</v>
      </c>
      <c r="R25" s="10">
        <v>36361</v>
      </c>
      <c r="S25" s="10">
        <v>75793</v>
      </c>
      <c r="T25" s="10"/>
      <c r="U25" s="10"/>
      <c r="V25" s="10">
        <v>240545</v>
      </c>
      <c r="W25" s="10">
        <v>821702</v>
      </c>
      <c r="X25" s="10">
        <v>196021</v>
      </c>
      <c r="Y25" s="10">
        <v>-87709</v>
      </c>
      <c r="Z25" s="10">
        <f>-353398+465132</f>
        <v>111734</v>
      </c>
      <c r="AA25" s="10">
        <f>-1094727+2161411</f>
        <v>1066684</v>
      </c>
      <c r="AB25" s="10">
        <v>1662974</v>
      </c>
      <c r="AC25" s="10">
        <v>5715511</v>
      </c>
      <c r="AD25" s="10">
        <v>525722</v>
      </c>
      <c r="AE25" s="10">
        <v>1918056</v>
      </c>
      <c r="AF25" s="10">
        <v>59851</v>
      </c>
      <c r="AG25" s="10">
        <v>213186</v>
      </c>
      <c r="AH25" s="10">
        <f>3028+289330</f>
        <v>292358</v>
      </c>
      <c r="AI25" s="10">
        <f>2958+1122945</f>
        <v>1125903</v>
      </c>
      <c r="AJ25" s="86">
        <v>-76745</v>
      </c>
      <c r="AK25" s="10">
        <v>-484380</v>
      </c>
      <c r="AL25" s="10"/>
      <c r="AM25" s="10"/>
      <c r="AN25" s="10"/>
      <c r="AO25" s="10"/>
      <c r="AP25" s="155">
        <v>1165973</v>
      </c>
      <c r="AQ25" s="155">
        <v>4019026</v>
      </c>
      <c r="AR25" s="10">
        <v>2698837</v>
      </c>
      <c r="AS25" s="10">
        <v>10146418</v>
      </c>
      <c r="AT25" s="10">
        <v>1352453</v>
      </c>
      <c r="AU25" s="10">
        <v>3212512</v>
      </c>
      <c r="AV25" s="10">
        <f>5764+8593</f>
        <v>14357</v>
      </c>
      <c r="AW25" s="10">
        <f>8730+9597</f>
        <v>18327</v>
      </c>
      <c r="AX25" s="10">
        <v>-284920</v>
      </c>
      <c r="AY25" s="10">
        <v>-775601</v>
      </c>
      <c r="AZ25" s="10"/>
      <c r="BA25" s="10"/>
      <c r="BB25" s="10">
        <v>492056</v>
      </c>
      <c r="BC25" s="10">
        <v>1536427</v>
      </c>
      <c r="BD25" s="10">
        <v>-215401</v>
      </c>
      <c r="BE25" s="10">
        <v>490696</v>
      </c>
      <c r="BF25" s="155"/>
      <c r="BG25" s="10"/>
      <c r="BH25" s="10"/>
      <c r="BI25" s="10"/>
      <c r="BJ25" s="10">
        <v>506549</v>
      </c>
      <c r="BK25" s="10">
        <v>1935982</v>
      </c>
      <c r="BL25" s="10">
        <v>1735088</v>
      </c>
      <c r="BM25" s="10">
        <v>4177107</v>
      </c>
      <c r="BN25" s="10">
        <f>2713+259505</f>
        <v>262218</v>
      </c>
      <c r="BO25" s="10">
        <f>-4164+780764</f>
        <v>776600</v>
      </c>
      <c r="BP25" s="82">
        <f t="shared" si="4"/>
        <v>11981949</v>
      </c>
      <c r="BQ25" s="82">
        <f t="shared" si="5"/>
        <v>41463499</v>
      </c>
    </row>
    <row r="26" spans="1:69" x14ac:dyDescent="0.25">
      <c r="A26" s="28"/>
    </row>
    <row r="27" spans="1:69" x14ac:dyDescent="0.25">
      <c r="A27" s="29" t="s">
        <v>231</v>
      </c>
    </row>
    <row r="28" spans="1:69" x14ac:dyDescent="0.25">
      <c r="A28" s="3" t="s">
        <v>0</v>
      </c>
      <c r="B28" s="111" t="s">
        <v>1</v>
      </c>
      <c r="C28" s="112"/>
      <c r="D28" s="111" t="s">
        <v>2</v>
      </c>
      <c r="E28" s="112"/>
      <c r="F28" s="111" t="s">
        <v>3</v>
      </c>
      <c r="G28" s="112"/>
      <c r="H28" s="111" t="s">
        <v>295</v>
      </c>
      <c r="I28" s="112"/>
      <c r="J28" s="111" t="s">
        <v>5</v>
      </c>
      <c r="K28" s="112"/>
      <c r="L28" s="111" t="s">
        <v>6</v>
      </c>
      <c r="M28" s="112"/>
      <c r="N28" s="111" t="s">
        <v>7</v>
      </c>
      <c r="O28" s="112"/>
      <c r="P28" s="111" t="s">
        <v>309</v>
      </c>
      <c r="Q28" s="112"/>
      <c r="R28" s="111" t="s">
        <v>9</v>
      </c>
      <c r="S28" s="112"/>
      <c r="T28" s="111" t="s">
        <v>10</v>
      </c>
      <c r="U28" s="112"/>
      <c r="V28" s="111" t="s">
        <v>11</v>
      </c>
      <c r="W28" s="112"/>
      <c r="X28" s="111" t="s">
        <v>12</v>
      </c>
      <c r="Y28" s="112"/>
      <c r="Z28" s="111" t="s">
        <v>13</v>
      </c>
      <c r="AA28" s="112"/>
      <c r="AB28" s="111" t="s">
        <v>14</v>
      </c>
      <c r="AC28" s="112"/>
      <c r="AD28" s="111" t="s">
        <v>15</v>
      </c>
      <c r="AE28" s="112"/>
      <c r="AF28" s="111" t="s">
        <v>16</v>
      </c>
      <c r="AG28" s="112"/>
      <c r="AH28" s="111" t="s">
        <v>17</v>
      </c>
      <c r="AI28" s="112"/>
      <c r="AJ28" s="111" t="s">
        <v>18</v>
      </c>
      <c r="AK28" s="112"/>
      <c r="AL28" s="111" t="s">
        <v>293</v>
      </c>
      <c r="AM28" s="112"/>
      <c r="AN28" s="111" t="s">
        <v>19</v>
      </c>
      <c r="AO28" s="112"/>
      <c r="AP28" s="111" t="s">
        <v>20</v>
      </c>
      <c r="AQ28" s="112"/>
      <c r="AR28" s="111" t="s">
        <v>21</v>
      </c>
      <c r="AS28" s="112"/>
      <c r="AT28" s="111" t="s">
        <v>22</v>
      </c>
      <c r="AU28" s="112"/>
      <c r="AV28" s="111" t="s">
        <v>23</v>
      </c>
      <c r="AW28" s="112"/>
      <c r="AX28" s="111" t="s">
        <v>24</v>
      </c>
      <c r="AY28" s="112"/>
      <c r="AZ28" s="111" t="s">
        <v>25</v>
      </c>
      <c r="BA28" s="112"/>
      <c r="BB28" s="111" t="s">
        <v>26</v>
      </c>
      <c r="BC28" s="112"/>
      <c r="BD28" s="111" t="s">
        <v>27</v>
      </c>
      <c r="BE28" s="112"/>
      <c r="BF28" s="111" t="s">
        <v>28</v>
      </c>
      <c r="BG28" s="112"/>
      <c r="BH28" s="111" t="s">
        <v>29</v>
      </c>
      <c r="BI28" s="112"/>
      <c r="BJ28" s="111" t="s">
        <v>30</v>
      </c>
      <c r="BK28" s="112"/>
      <c r="BL28" s="115" t="s">
        <v>31</v>
      </c>
      <c r="BM28" s="116"/>
      <c r="BN28" s="111" t="s">
        <v>32</v>
      </c>
      <c r="BO28" s="112"/>
      <c r="BP28" s="113" t="s">
        <v>33</v>
      </c>
      <c r="BQ28" s="114"/>
    </row>
    <row r="29" spans="1:69" ht="30" x14ac:dyDescent="0.25">
      <c r="A29" s="3"/>
      <c r="B29" s="66" t="s">
        <v>298</v>
      </c>
      <c r="C29" s="67" t="s">
        <v>299</v>
      </c>
      <c r="D29" s="66" t="s">
        <v>298</v>
      </c>
      <c r="E29" s="67" t="s">
        <v>299</v>
      </c>
      <c r="F29" s="66" t="s">
        <v>298</v>
      </c>
      <c r="G29" s="67" t="s">
        <v>299</v>
      </c>
      <c r="H29" s="66" t="s">
        <v>298</v>
      </c>
      <c r="I29" s="67" t="s">
        <v>299</v>
      </c>
      <c r="J29" s="66" t="s">
        <v>298</v>
      </c>
      <c r="K29" s="67" t="s">
        <v>299</v>
      </c>
      <c r="L29" s="66" t="s">
        <v>298</v>
      </c>
      <c r="M29" s="67" t="s">
        <v>299</v>
      </c>
      <c r="N29" s="66" t="s">
        <v>298</v>
      </c>
      <c r="O29" s="67" t="s">
        <v>299</v>
      </c>
      <c r="P29" s="66" t="s">
        <v>298</v>
      </c>
      <c r="Q29" s="67" t="s">
        <v>299</v>
      </c>
      <c r="R29" s="66" t="s">
        <v>298</v>
      </c>
      <c r="S29" s="67" t="s">
        <v>299</v>
      </c>
      <c r="T29" s="66" t="s">
        <v>298</v>
      </c>
      <c r="U29" s="67" t="s">
        <v>299</v>
      </c>
      <c r="V29" s="66" t="s">
        <v>298</v>
      </c>
      <c r="W29" s="67" t="s">
        <v>299</v>
      </c>
      <c r="X29" s="66" t="s">
        <v>298</v>
      </c>
      <c r="Y29" s="67" t="s">
        <v>299</v>
      </c>
      <c r="Z29" s="66" t="s">
        <v>298</v>
      </c>
      <c r="AA29" s="67" t="s">
        <v>299</v>
      </c>
      <c r="AB29" s="66" t="s">
        <v>298</v>
      </c>
      <c r="AC29" s="67" t="s">
        <v>299</v>
      </c>
      <c r="AD29" s="66" t="s">
        <v>298</v>
      </c>
      <c r="AE29" s="67" t="s">
        <v>299</v>
      </c>
      <c r="AF29" s="66" t="s">
        <v>298</v>
      </c>
      <c r="AG29" s="67" t="s">
        <v>299</v>
      </c>
      <c r="AH29" s="66" t="s">
        <v>298</v>
      </c>
      <c r="AI29" s="67" t="s">
        <v>299</v>
      </c>
      <c r="AJ29" s="66" t="s">
        <v>298</v>
      </c>
      <c r="AK29" s="67" t="s">
        <v>299</v>
      </c>
      <c r="AL29" s="66" t="s">
        <v>298</v>
      </c>
      <c r="AM29" s="67" t="s">
        <v>299</v>
      </c>
      <c r="AN29" s="66" t="s">
        <v>298</v>
      </c>
      <c r="AO29" s="67" t="s">
        <v>299</v>
      </c>
      <c r="AP29" s="66" t="s">
        <v>298</v>
      </c>
      <c r="AQ29" s="67" t="s">
        <v>299</v>
      </c>
      <c r="AR29" s="66" t="s">
        <v>298</v>
      </c>
      <c r="AS29" s="67" t="s">
        <v>299</v>
      </c>
      <c r="AT29" s="66" t="s">
        <v>298</v>
      </c>
      <c r="AU29" s="67" t="s">
        <v>299</v>
      </c>
      <c r="AV29" s="66" t="s">
        <v>298</v>
      </c>
      <c r="AW29" s="67" t="s">
        <v>299</v>
      </c>
      <c r="AX29" s="66" t="s">
        <v>298</v>
      </c>
      <c r="AY29" s="67" t="s">
        <v>299</v>
      </c>
      <c r="AZ29" s="66" t="s">
        <v>298</v>
      </c>
      <c r="BA29" s="67" t="s">
        <v>299</v>
      </c>
      <c r="BB29" s="66" t="s">
        <v>298</v>
      </c>
      <c r="BC29" s="67" t="s">
        <v>299</v>
      </c>
      <c r="BD29" s="66" t="s">
        <v>298</v>
      </c>
      <c r="BE29" s="67" t="s">
        <v>299</v>
      </c>
      <c r="BF29" s="66" t="s">
        <v>298</v>
      </c>
      <c r="BG29" s="67" t="s">
        <v>299</v>
      </c>
      <c r="BH29" s="66" t="s">
        <v>298</v>
      </c>
      <c r="BI29" s="67" t="s">
        <v>299</v>
      </c>
      <c r="BJ29" s="66" t="s">
        <v>298</v>
      </c>
      <c r="BK29" s="67" t="s">
        <v>299</v>
      </c>
      <c r="BL29" s="66" t="s">
        <v>298</v>
      </c>
      <c r="BM29" s="67" t="s">
        <v>299</v>
      </c>
      <c r="BN29" s="66" t="s">
        <v>298</v>
      </c>
      <c r="BO29" s="67" t="s">
        <v>299</v>
      </c>
      <c r="BP29" s="66" t="s">
        <v>298</v>
      </c>
      <c r="BQ29" s="67" t="s">
        <v>299</v>
      </c>
    </row>
    <row r="30" spans="1:69" x14ac:dyDescent="0.25">
      <c r="A30" s="30" t="s">
        <v>237</v>
      </c>
      <c r="B30" s="10"/>
      <c r="C30" s="10"/>
      <c r="D30" s="10"/>
      <c r="E30" s="10"/>
      <c r="F30" s="10"/>
      <c r="G30" s="10"/>
      <c r="H30" s="10"/>
      <c r="I30" s="10"/>
      <c r="J30" s="10">
        <v>23378</v>
      </c>
      <c r="K30" s="10">
        <v>121618</v>
      </c>
      <c r="L30" s="10">
        <v>6232</v>
      </c>
      <c r="M30" s="10">
        <v>23351</v>
      </c>
      <c r="N30" s="10">
        <v>6321</v>
      </c>
      <c r="O30" s="10">
        <v>27717</v>
      </c>
      <c r="P30" s="10"/>
      <c r="Q30" s="10"/>
      <c r="R30" s="10">
        <v>121</v>
      </c>
      <c r="S30" s="10">
        <v>121</v>
      </c>
      <c r="T30" s="10"/>
      <c r="U30" s="10"/>
      <c r="V30" s="10">
        <v>12339</v>
      </c>
      <c r="W30" s="10">
        <v>55771</v>
      </c>
      <c r="X30" s="10">
        <v>2961</v>
      </c>
      <c r="Y30" s="10">
        <v>5155</v>
      </c>
      <c r="Z30" s="10">
        <v>30323</v>
      </c>
      <c r="AA30" s="10">
        <v>119063</v>
      </c>
      <c r="AB30" s="10">
        <v>64400</v>
      </c>
      <c r="AC30" s="10">
        <v>259431</v>
      </c>
      <c r="AD30" s="10">
        <v>27626</v>
      </c>
      <c r="AE30" s="10">
        <v>116669</v>
      </c>
      <c r="AF30" s="10">
        <v>200</v>
      </c>
      <c r="AG30" s="10">
        <v>2544</v>
      </c>
      <c r="AH30" s="10">
        <v>8215</v>
      </c>
      <c r="AI30" s="10">
        <v>28834</v>
      </c>
      <c r="AJ30" s="86">
        <v>2637</v>
      </c>
      <c r="AK30" s="10">
        <v>7231</v>
      </c>
      <c r="AL30" s="10"/>
      <c r="AM30" s="10"/>
      <c r="AN30" s="10"/>
      <c r="AO30" s="10"/>
      <c r="AP30" s="155">
        <v>74030</v>
      </c>
      <c r="AQ30" s="155">
        <v>242129</v>
      </c>
      <c r="AR30" s="10">
        <v>212470</v>
      </c>
      <c r="AS30" s="10">
        <v>673860</v>
      </c>
      <c r="AT30" s="10">
        <v>37111</v>
      </c>
      <c r="AU30" s="10">
        <v>185114</v>
      </c>
      <c r="AV30" s="10">
        <v>257</v>
      </c>
      <c r="AW30" s="10">
        <v>1112</v>
      </c>
      <c r="AX30" s="10">
        <v>19121</v>
      </c>
      <c r="AY30" s="10">
        <v>98096</v>
      </c>
      <c r="AZ30" s="10"/>
      <c r="BA30" s="10"/>
      <c r="BB30" s="10">
        <v>18852</v>
      </c>
      <c r="BC30" s="10">
        <v>71649</v>
      </c>
      <c r="BD30" s="10">
        <v>6680</v>
      </c>
      <c r="BE30" s="10">
        <v>26960</v>
      </c>
      <c r="BF30" s="155"/>
      <c r="BG30" s="10"/>
      <c r="BH30" s="10"/>
      <c r="BI30" s="10"/>
      <c r="BJ30" s="10">
        <v>12060</v>
      </c>
      <c r="BK30" s="10">
        <v>67175</v>
      </c>
      <c r="BL30" s="10">
        <v>106177</v>
      </c>
      <c r="BM30" s="10">
        <v>330897</v>
      </c>
      <c r="BN30" s="10">
        <v>378</v>
      </c>
      <c r="BO30" s="10">
        <v>6816</v>
      </c>
      <c r="BP30" s="82">
        <f t="shared" ref="BP30:BP33" si="6">B30+D30+F30+H30+J30+L30+N30+P30+R30+T30+V30+X30+Z30+AB30+AD30+AF30+AH30+AJ30+AL30+AN30+AP30+AR30+AT30+AV30+AX30+AZ30+BB30+BD30+BF30+BH30+BJ30+BL30+BN30</f>
        <v>671889</v>
      </c>
      <c r="BQ30" s="82">
        <f t="shared" ref="BQ30:BQ33" si="7">C30+E30+G30+I30+K30+M30+O30+Q30+S30+U30+W30+Y30+AA30+AC30+AE30+AG30+AI30+AK30+AM30+AO30+AQ30+AS30+AU30+AW30+AY30+BA30+BC30+BE30+BG30+BI30+BK30+BM30+BO30</f>
        <v>2471313</v>
      </c>
    </row>
    <row r="31" spans="1:69" x14ac:dyDescent="0.25">
      <c r="A31" s="30" t="s">
        <v>288</v>
      </c>
      <c r="B31" s="10"/>
      <c r="C31" s="10"/>
      <c r="D31" s="10"/>
      <c r="E31" s="10"/>
      <c r="F31" s="10"/>
      <c r="G31" s="10"/>
      <c r="H31" s="10"/>
      <c r="I31" s="10"/>
      <c r="J31" s="10">
        <v>1598</v>
      </c>
      <c r="K31" s="10">
        <v>7926</v>
      </c>
      <c r="L31" s="10">
        <v>55</v>
      </c>
      <c r="M31" s="10">
        <v>271</v>
      </c>
      <c r="N31" s="10">
        <v>71</v>
      </c>
      <c r="O31" s="10">
        <v>332</v>
      </c>
      <c r="P31" s="10">
        <v>23</v>
      </c>
      <c r="Q31" s="10">
        <v>115</v>
      </c>
      <c r="R31" s="10">
        <v>123</v>
      </c>
      <c r="S31" s="10">
        <v>674</v>
      </c>
      <c r="T31" s="10"/>
      <c r="U31" s="10"/>
      <c r="V31" s="10">
        <v>1549</v>
      </c>
      <c r="W31" s="10">
        <v>3946</v>
      </c>
      <c r="X31" s="10">
        <v>-1775</v>
      </c>
      <c r="Y31" s="10">
        <v>2534</v>
      </c>
      <c r="Z31" s="10">
        <v>1439</v>
      </c>
      <c r="AA31" s="10">
        <v>6019</v>
      </c>
      <c r="AB31" s="10">
        <v>14105</v>
      </c>
      <c r="AC31" s="10">
        <v>59454</v>
      </c>
      <c r="AD31" s="10">
        <v>1470</v>
      </c>
      <c r="AE31" s="10">
        <v>4310</v>
      </c>
      <c r="AF31" s="10">
        <v>18</v>
      </c>
      <c r="AG31" s="10">
        <v>85</v>
      </c>
      <c r="AH31" s="10">
        <v>38</v>
      </c>
      <c r="AI31" s="10">
        <v>177</v>
      </c>
      <c r="AJ31" s="86">
        <v>236</v>
      </c>
      <c r="AK31" s="10">
        <v>1464</v>
      </c>
      <c r="AL31" s="10"/>
      <c r="AM31" s="10"/>
      <c r="AN31" s="10"/>
      <c r="AO31" s="10"/>
      <c r="AP31" s="155">
        <v>19204</v>
      </c>
      <c r="AQ31" s="155">
        <v>72405</v>
      </c>
      <c r="AR31" s="10">
        <v>26216</v>
      </c>
      <c r="AS31" s="10">
        <v>122911</v>
      </c>
      <c r="AT31" s="10">
        <v>7960</v>
      </c>
      <c r="AU31" s="10">
        <v>89030</v>
      </c>
      <c r="AV31" s="10">
        <v>2</v>
      </c>
      <c r="AW31" s="10">
        <v>9</v>
      </c>
      <c r="AX31" s="10">
        <v>490</v>
      </c>
      <c r="AY31" s="10">
        <v>2647</v>
      </c>
      <c r="AZ31" s="10"/>
      <c r="BA31" s="10"/>
      <c r="BB31" s="10">
        <v>1204</v>
      </c>
      <c r="BC31" s="10">
        <v>4220</v>
      </c>
      <c r="BD31" s="10">
        <v>192</v>
      </c>
      <c r="BE31" s="10">
        <v>972</v>
      </c>
      <c r="BF31" s="155"/>
      <c r="BG31" s="10"/>
      <c r="BH31" s="10"/>
      <c r="BI31" s="10"/>
      <c r="BJ31" s="10">
        <v>1292</v>
      </c>
      <c r="BK31" s="10">
        <v>2896</v>
      </c>
      <c r="BL31" s="10">
        <v>7299</v>
      </c>
      <c r="BM31" s="10">
        <v>48525</v>
      </c>
      <c r="BN31" s="10"/>
      <c r="BO31" s="10">
        <v>574</v>
      </c>
      <c r="BP31" s="82">
        <f t="shared" si="6"/>
        <v>82809</v>
      </c>
      <c r="BQ31" s="82">
        <f t="shared" si="7"/>
        <v>431496</v>
      </c>
    </row>
    <row r="32" spans="1:69" x14ac:dyDescent="0.25">
      <c r="A32" s="30" t="s">
        <v>289</v>
      </c>
      <c r="B32" s="10"/>
      <c r="C32" s="10"/>
      <c r="D32" s="10"/>
      <c r="E32" s="10"/>
      <c r="F32" s="10"/>
      <c r="G32" s="10"/>
      <c r="H32" s="10"/>
      <c r="I32" s="10"/>
      <c r="J32" s="10">
        <v>54368</v>
      </c>
      <c r="K32" s="10">
        <v>226826</v>
      </c>
      <c r="L32" s="10">
        <v>12275</v>
      </c>
      <c r="M32" s="10">
        <v>50650</v>
      </c>
      <c r="N32" s="10">
        <v>8066</v>
      </c>
      <c r="O32" s="10">
        <v>26870</v>
      </c>
      <c r="P32" s="10"/>
      <c r="Q32" s="10"/>
      <c r="R32" s="10">
        <v>103</v>
      </c>
      <c r="S32" s="10">
        <v>171</v>
      </c>
      <c r="T32" s="10"/>
      <c r="U32" s="10"/>
      <c r="V32" s="10">
        <v>13947</v>
      </c>
      <c r="W32" s="10">
        <v>76812</v>
      </c>
      <c r="X32" s="10">
        <v>1649</v>
      </c>
      <c r="Y32" s="10">
        <v>7436</v>
      </c>
      <c r="Z32" s="10">
        <v>-37377</v>
      </c>
      <c r="AA32" s="10">
        <v>-261379</v>
      </c>
      <c r="AB32" s="10">
        <v>80948</v>
      </c>
      <c r="AC32" s="10">
        <v>382790</v>
      </c>
      <c r="AD32" s="10">
        <v>34231</v>
      </c>
      <c r="AE32" s="10">
        <v>95334</v>
      </c>
      <c r="AF32" s="10">
        <v>262</v>
      </c>
      <c r="AG32" s="10">
        <v>1853</v>
      </c>
      <c r="AH32" s="10">
        <v>9383</v>
      </c>
      <c r="AI32" s="10">
        <v>33613</v>
      </c>
      <c r="AJ32" s="86">
        <v>-3624</v>
      </c>
      <c r="AK32" s="10">
        <v>-11010</v>
      </c>
      <c r="AL32" s="10"/>
      <c r="AM32" s="10"/>
      <c r="AN32" s="10"/>
      <c r="AO32" s="10"/>
      <c r="AP32" s="155">
        <v>26494</v>
      </c>
      <c r="AQ32" s="155">
        <v>81694</v>
      </c>
      <c r="AR32" s="10">
        <v>124847</v>
      </c>
      <c r="AS32" s="10">
        <v>417272</v>
      </c>
      <c r="AT32" s="10">
        <v>23531</v>
      </c>
      <c r="AU32" s="10">
        <v>96390</v>
      </c>
      <c r="AV32" s="10">
        <v>198</v>
      </c>
      <c r="AW32" s="10">
        <v>1061</v>
      </c>
      <c r="AX32" s="10">
        <v>14452</v>
      </c>
      <c r="AY32" s="10">
        <v>40113</v>
      </c>
      <c r="AZ32" s="10"/>
      <c r="BA32" s="10"/>
      <c r="BB32" s="10">
        <v>-43245</v>
      </c>
      <c r="BC32" s="10">
        <v>-163408</v>
      </c>
      <c r="BD32" s="10">
        <v>10893</v>
      </c>
      <c r="BE32" s="10">
        <v>42383</v>
      </c>
      <c r="BF32" s="155"/>
      <c r="BG32" s="10"/>
      <c r="BH32" s="10"/>
      <c r="BI32" s="10"/>
      <c r="BJ32" s="10">
        <v>28897</v>
      </c>
      <c r="BK32" s="10">
        <v>146696</v>
      </c>
      <c r="BL32" s="10">
        <v>39657</v>
      </c>
      <c r="BM32" s="10">
        <v>170916</v>
      </c>
      <c r="BN32" s="10">
        <v>141</v>
      </c>
      <c r="BO32" s="10">
        <v>22876</v>
      </c>
      <c r="BP32" s="82">
        <f t="shared" si="6"/>
        <v>400096</v>
      </c>
      <c r="BQ32" s="82">
        <f t="shared" si="7"/>
        <v>1485959</v>
      </c>
    </row>
    <row r="33" spans="1:69" x14ac:dyDescent="0.25">
      <c r="A33" s="30" t="s">
        <v>238</v>
      </c>
      <c r="B33" s="10"/>
      <c r="C33" s="10"/>
      <c r="D33" s="10"/>
      <c r="E33" s="10"/>
      <c r="F33" s="10"/>
      <c r="G33" s="10"/>
      <c r="H33" s="10"/>
      <c r="I33" s="10"/>
      <c r="J33" s="10">
        <v>-29392</v>
      </c>
      <c r="K33" s="10">
        <v>-97282</v>
      </c>
      <c r="L33" s="10">
        <v>-5989</v>
      </c>
      <c r="M33" s="10">
        <v>-27028</v>
      </c>
      <c r="N33" s="10">
        <v>-1674</v>
      </c>
      <c r="O33" s="10">
        <v>1179</v>
      </c>
      <c r="P33" s="10">
        <v>23</v>
      </c>
      <c r="Q33" s="10">
        <v>115</v>
      </c>
      <c r="R33" s="10">
        <v>141</v>
      </c>
      <c r="S33" s="10">
        <v>624</v>
      </c>
      <c r="T33" s="10"/>
      <c r="U33" s="10"/>
      <c r="V33" s="10">
        <v>-59</v>
      </c>
      <c r="W33" s="10">
        <v>-17095</v>
      </c>
      <c r="X33" s="10">
        <v>-463</v>
      </c>
      <c r="Y33" s="10">
        <v>253</v>
      </c>
      <c r="Z33" s="10">
        <v>-5615</v>
      </c>
      <c r="AA33" s="10">
        <v>-136297</v>
      </c>
      <c r="AB33" s="10">
        <v>-2443</v>
      </c>
      <c r="AC33" s="10">
        <v>-63905</v>
      </c>
      <c r="AD33" s="10">
        <v>-5135</v>
      </c>
      <c r="AE33" s="10">
        <v>25645</v>
      </c>
      <c r="AF33" s="10">
        <v>-44</v>
      </c>
      <c r="AG33" s="10">
        <v>776</v>
      </c>
      <c r="AH33" s="10">
        <v>-1131</v>
      </c>
      <c r="AI33" s="10">
        <v>-4602</v>
      </c>
      <c r="AJ33" s="86">
        <v>-751</v>
      </c>
      <c r="AK33" s="10">
        <v>-2315</v>
      </c>
      <c r="AL33" s="10"/>
      <c r="AM33" s="10"/>
      <c r="AN33" s="10"/>
      <c r="AO33" s="10"/>
      <c r="AP33" s="155">
        <v>66740</v>
      </c>
      <c r="AQ33" s="155">
        <v>232840</v>
      </c>
      <c r="AR33" s="10">
        <v>113839</v>
      </c>
      <c r="AS33" s="10">
        <v>379498</v>
      </c>
      <c r="AT33" s="10">
        <v>21540</v>
      </c>
      <c r="AU33" s="10">
        <v>177754</v>
      </c>
      <c r="AV33" s="10">
        <v>61</v>
      </c>
      <c r="AW33" s="10">
        <v>59</v>
      </c>
      <c r="AX33" s="10">
        <v>5159</v>
      </c>
      <c r="AY33" s="10">
        <v>60630</v>
      </c>
      <c r="AZ33" s="10"/>
      <c r="BA33" s="10"/>
      <c r="BB33" s="10">
        <v>-23189</v>
      </c>
      <c r="BC33" s="10">
        <v>-87539</v>
      </c>
      <c r="BD33" s="10">
        <v>-4021</v>
      </c>
      <c r="BE33" s="10">
        <v>-14451</v>
      </c>
      <c r="BF33" s="155"/>
      <c r="BG33" s="10"/>
      <c r="BH33" s="10"/>
      <c r="BI33" s="10"/>
      <c r="BJ33" s="10">
        <v>-15545</v>
      </c>
      <c r="BK33" s="10">
        <v>-76625</v>
      </c>
      <c r="BL33" s="10">
        <v>73819</v>
      </c>
      <c r="BM33" s="10">
        <v>208506</v>
      </c>
      <c r="BN33" s="10">
        <v>237</v>
      </c>
      <c r="BO33" s="10">
        <v>-15486</v>
      </c>
      <c r="BP33" s="82">
        <f t="shared" si="6"/>
        <v>186108</v>
      </c>
      <c r="BQ33" s="82">
        <f t="shared" si="7"/>
        <v>545254</v>
      </c>
    </row>
    <row r="34" spans="1:69" x14ac:dyDescent="0.25">
      <c r="A34" s="28"/>
    </row>
    <row r="35" spans="1:69" x14ac:dyDescent="0.25">
      <c r="A35" s="29" t="s">
        <v>232</v>
      </c>
    </row>
    <row r="36" spans="1:69" x14ac:dyDescent="0.25">
      <c r="A36" s="3" t="s">
        <v>0</v>
      </c>
      <c r="B36" s="111" t="s">
        <v>1</v>
      </c>
      <c r="C36" s="112"/>
      <c r="D36" s="111" t="s">
        <v>2</v>
      </c>
      <c r="E36" s="112"/>
      <c r="F36" s="111" t="s">
        <v>3</v>
      </c>
      <c r="G36" s="112"/>
      <c r="H36" s="111" t="s">
        <v>295</v>
      </c>
      <c r="I36" s="112"/>
      <c r="J36" s="111" t="s">
        <v>5</v>
      </c>
      <c r="K36" s="112"/>
      <c r="L36" s="111" t="s">
        <v>6</v>
      </c>
      <c r="M36" s="112"/>
      <c r="N36" s="111" t="s">
        <v>7</v>
      </c>
      <c r="O36" s="112"/>
      <c r="P36" s="111" t="s">
        <v>309</v>
      </c>
      <c r="Q36" s="112"/>
      <c r="R36" s="111" t="s">
        <v>9</v>
      </c>
      <c r="S36" s="112"/>
      <c r="T36" s="111" t="s">
        <v>10</v>
      </c>
      <c r="U36" s="112"/>
      <c r="V36" s="111" t="s">
        <v>11</v>
      </c>
      <c r="W36" s="112"/>
      <c r="X36" s="111" t="s">
        <v>12</v>
      </c>
      <c r="Y36" s="112"/>
      <c r="Z36" s="111" t="s">
        <v>13</v>
      </c>
      <c r="AA36" s="112"/>
      <c r="AB36" s="111" t="s">
        <v>14</v>
      </c>
      <c r="AC36" s="112"/>
      <c r="AD36" s="111" t="s">
        <v>15</v>
      </c>
      <c r="AE36" s="112"/>
      <c r="AF36" s="111" t="s">
        <v>16</v>
      </c>
      <c r="AG36" s="112"/>
      <c r="AH36" s="111" t="s">
        <v>17</v>
      </c>
      <c r="AI36" s="112"/>
      <c r="AJ36" s="111" t="s">
        <v>18</v>
      </c>
      <c r="AK36" s="112"/>
      <c r="AL36" s="111" t="s">
        <v>293</v>
      </c>
      <c r="AM36" s="112"/>
      <c r="AN36" s="111" t="s">
        <v>19</v>
      </c>
      <c r="AO36" s="112"/>
      <c r="AP36" s="111" t="s">
        <v>20</v>
      </c>
      <c r="AQ36" s="112"/>
      <c r="AR36" s="111" t="s">
        <v>21</v>
      </c>
      <c r="AS36" s="112"/>
      <c r="AT36" s="111" t="s">
        <v>22</v>
      </c>
      <c r="AU36" s="112"/>
      <c r="AV36" s="111" t="s">
        <v>23</v>
      </c>
      <c r="AW36" s="112"/>
      <c r="AX36" s="111" t="s">
        <v>24</v>
      </c>
      <c r="AY36" s="112"/>
      <c r="AZ36" s="111" t="s">
        <v>25</v>
      </c>
      <c r="BA36" s="112"/>
      <c r="BB36" s="111" t="s">
        <v>26</v>
      </c>
      <c r="BC36" s="112"/>
      <c r="BD36" s="111" t="s">
        <v>27</v>
      </c>
      <c r="BE36" s="112"/>
      <c r="BF36" s="111" t="s">
        <v>28</v>
      </c>
      <c r="BG36" s="112"/>
      <c r="BH36" s="111" t="s">
        <v>29</v>
      </c>
      <c r="BI36" s="112"/>
      <c r="BJ36" s="111" t="s">
        <v>30</v>
      </c>
      <c r="BK36" s="112"/>
      <c r="BL36" s="115" t="s">
        <v>31</v>
      </c>
      <c r="BM36" s="116"/>
      <c r="BN36" s="111" t="s">
        <v>32</v>
      </c>
      <c r="BO36" s="112"/>
      <c r="BP36" s="113" t="s">
        <v>33</v>
      </c>
      <c r="BQ36" s="114"/>
    </row>
    <row r="37" spans="1:69" ht="30" x14ac:dyDescent="0.25">
      <c r="A37" s="3"/>
      <c r="B37" s="66" t="s">
        <v>298</v>
      </c>
      <c r="C37" s="67" t="s">
        <v>299</v>
      </c>
      <c r="D37" s="66" t="s">
        <v>298</v>
      </c>
      <c r="E37" s="67" t="s">
        <v>299</v>
      </c>
      <c r="F37" s="66" t="s">
        <v>298</v>
      </c>
      <c r="G37" s="67" t="s">
        <v>299</v>
      </c>
      <c r="H37" s="66" t="s">
        <v>298</v>
      </c>
      <c r="I37" s="67" t="s">
        <v>299</v>
      </c>
      <c r="J37" s="66" t="s">
        <v>298</v>
      </c>
      <c r="K37" s="67" t="s">
        <v>299</v>
      </c>
      <c r="L37" s="66" t="s">
        <v>298</v>
      </c>
      <c r="M37" s="67" t="s">
        <v>299</v>
      </c>
      <c r="N37" s="66" t="s">
        <v>298</v>
      </c>
      <c r="O37" s="67" t="s">
        <v>299</v>
      </c>
      <c r="P37" s="66" t="s">
        <v>298</v>
      </c>
      <c r="Q37" s="67" t="s">
        <v>299</v>
      </c>
      <c r="R37" s="66" t="s">
        <v>298</v>
      </c>
      <c r="S37" s="67" t="s">
        <v>299</v>
      </c>
      <c r="T37" s="66" t="s">
        <v>298</v>
      </c>
      <c r="U37" s="67" t="s">
        <v>299</v>
      </c>
      <c r="V37" s="66" t="s">
        <v>298</v>
      </c>
      <c r="W37" s="67" t="s">
        <v>299</v>
      </c>
      <c r="X37" s="66" t="s">
        <v>298</v>
      </c>
      <c r="Y37" s="67" t="s">
        <v>299</v>
      </c>
      <c r="Z37" s="66" t="s">
        <v>298</v>
      </c>
      <c r="AA37" s="67" t="s">
        <v>299</v>
      </c>
      <c r="AB37" s="66" t="s">
        <v>298</v>
      </c>
      <c r="AC37" s="67" t="s">
        <v>299</v>
      </c>
      <c r="AD37" s="66" t="s">
        <v>298</v>
      </c>
      <c r="AE37" s="67" t="s">
        <v>299</v>
      </c>
      <c r="AF37" s="66" t="s">
        <v>298</v>
      </c>
      <c r="AG37" s="67" t="s">
        <v>299</v>
      </c>
      <c r="AH37" s="66" t="s">
        <v>298</v>
      </c>
      <c r="AI37" s="67" t="s">
        <v>299</v>
      </c>
      <c r="AJ37" s="66" t="s">
        <v>298</v>
      </c>
      <c r="AK37" s="67" t="s">
        <v>299</v>
      </c>
      <c r="AL37" s="66" t="s">
        <v>298</v>
      </c>
      <c r="AM37" s="67" t="s">
        <v>299</v>
      </c>
      <c r="AN37" s="66" t="s">
        <v>298</v>
      </c>
      <c r="AO37" s="67" t="s">
        <v>299</v>
      </c>
      <c r="AP37" s="66" t="s">
        <v>298</v>
      </c>
      <c r="AQ37" s="67" t="s">
        <v>299</v>
      </c>
      <c r="AR37" s="66" t="s">
        <v>298</v>
      </c>
      <c r="AS37" s="67" t="s">
        <v>299</v>
      </c>
      <c r="AT37" s="66" t="s">
        <v>298</v>
      </c>
      <c r="AU37" s="67" t="s">
        <v>299</v>
      </c>
      <c r="AV37" s="66" t="s">
        <v>298</v>
      </c>
      <c r="AW37" s="67" t="s">
        <v>299</v>
      </c>
      <c r="AX37" s="66" t="s">
        <v>298</v>
      </c>
      <c r="AY37" s="67" t="s">
        <v>299</v>
      </c>
      <c r="AZ37" s="66" t="s">
        <v>298</v>
      </c>
      <c r="BA37" s="67" t="s">
        <v>299</v>
      </c>
      <c r="BB37" s="66" t="s">
        <v>298</v>
      </c>
      <c r="BC37" s="67" t="s">
        <v>299</v>
      </c>
      <c r="BD37" s="66" t="s">
        <v>298</v>
      </c>
      <c r="BE37" s="67" t="s">
        <v>299</v>
      </c>
      <c r="BF37" s="66" t="s">
        <v>298</v>
      </c>
      <c r="BG37" s="67" t="s">
        <v>299</v>
      </c>
      <c r="BH37" s="66" t="s">
        <v>298</v>
      </c>
      <c r="BI37" s="67" t="s">
        <v>299</v>
      </c>
      <c r="BJ37" s="66" t="s">
        <v>298</v>
      </c>
      <c r="BK37" s="67" t="s">
        <v>299</v>
      </c>
      <c r="BL37" s="66" t="s">
        <v>298</v>
      </c>
      <c r="BM37" s="67" t="s">
        <v>299</v>
      </c>
      <c r="BN37" s="66" t="s">
        <v>298</v>
      </c>
      <c r="BO37" s="67" t="s">
        <v>299</v>
      </c>
      <c r="BP37" s="66" t="s">
        <v>298</v>
      </c>
      <c r="BQ37" s="67" t="s">
        <v>299</v>
      </c>
    </row>
    <row r="38" spans="1:69" x14ac:dyDescent="0.25">
      <c r="A38" s="30" t="s">
        <v>237</v>
      </c>
      <c r="B38" s="10">
        <v>12959</v>
      </c>
      <c r="C38" s="10">
        <v>14570</v>
      </c>
      <c r="D38" s="10">
        <v>271391</v>
      </c>
      <c r="E38" s="10">
        <v>909518</v>
      </c>
      <c r="F38" s="10"/>
      <c r="G38" s="10"/>
      <c r="H38" s="10">
        <v>1171704</v>
      </c>
      <c r="I38" s="10">
        <v>3065032</v>
      </c>
      <c r="J38" s="10">
        <v>445217</v>
      </c>
      <c r="K38" s="10">
        <v>1640757</v>
      </c>
      <c r="L38" s="10">
        <v>86481</v>
      </c>
      <c r="M38" s="10">
        <v>363111</v>
      </c>
      <c r="N38" s="10">
        <v>48869</v>
      </c>
      <c r="O38" s="10">
        <v>360643</v>
      </c>
      <c r="P38" s="10">
        <v>8374</v>
      </c>
      <c r="Q38" s="10">
        <v>33473</v>
      </c>
      <c r="R38" s="10">
        <v>9090</v>
      </c>
      <c r="S38" s="10">
        <v>31840</v>
      </c>
      <c r="T38" s="10"/>
      <c r="U38" s="10"/>
      <c r="V38" s="10">
        <v>80668</v>
      </c>
      <c r="W38" s="10">
        <v>230227</v>
      </c>
      <c r="X38" s="10">
        <v>3085</v>
      </c>
      <c r="Y38" s="10">
        <v>9002</v>
      </c>
      <c r="Z38" s="10">
        <v>420116</v>
      </c>
      <c r="AA38" s="10">
        <v>1593829</v>
      </c>
      <c r="AB38" s="10">
        <v>707437</v>
      </c>
      <c r="AC38" s="10">
        <v>2580632</v>
      </c>
      <c r="AD38" s="10">
        <v>144850</v>
      </c>
      <c r="AE38" s="10">
        <v>646507</v>
      </c>
      <c r="AF38" s="10">
        <v>22531</v>
      </c>
      <c r="AG38" s="10">
        <v>91532</v>
      </c>
      <c r="AH38" s="10">
        <v>53870</v>
      </c>
      <c r="AI38" s="10">
        <v>210454</v>
      </c>
      <c r="AJ38" s="86">
        <v>16203</v>
      </c>
      <c r="AK38" s="10">
        <v>54825</v>
      </c>
      <c r="AL38" s="10">
        <v>216176</v>
      </c>
      <c r="AM38" s="10">
        <v>679319</v>
      </c>
      <c r="AN38" s="10">
        <v>477809</v>
      </c>
      <c r="AO38" s="10">
        <v>1443623</v>
      </c>
      <c r="AP38" s="155">
        <v>1101041</v>
      </c>
      <c r="AQ38" s="155">
        <v>3452040</v>
      </c>
      <c r="AR38" s="10">
        <v>1916632</v>
      </c>
      <c r="AS38" s="10">
        <v>6159947</v>
      </c>
      <c r="AT38" s="10">
        <v>1311882</v>
      </c>
      <c r="AU38" s="10">
        <v>3364757</v>
      </c>
      <c r="AV38" s="10">
        <v>337</v>
      </c>
      <c r="AW38" s="10">
        <v>778</v>
      </c>
      <c r="AX38" s="10">
        <v>92091</v>
      </c>
      <c r="AY38" s="10">
        <v>490018</v>
      </c>
      <c r="AZ38" s="10">
        <v>775152</v>
      </c>
      <c r="BA38" s="10">
        <v>2338361</v>
      </c>
      <c r="BB38" s="10">
        <v>153307</v>
      </c>
      <c r="BC38" s="10">
        <v>459207</v>
      </c>
      <c r="BD38" s="10">
        <v>198751</v>
      </c>
      <c r="BE38" s="10">
        <v>733301</v>
      </c>
      <c r="BF38" s="155"/>
      <c r="BG38" s="10"/>
      <c r="BH38" s="10"/>
      <c r="BI38" s="10"/>
      <c r="BJ38" s="10">
        <v>253048</v>
      </c>
      <c r="BK38" s="10">
        <v>953342</v>
      </c>
      <c r="BL38" s="10">
        <v>825716</v>
      </c>
      <c r="BM38" s="10">
        <v>2399053</v>
      </c>
      <c r="BN38" s="10">
        <v>68792</v>
      </c>
      <c r="BO38" s="10">
        <v>214514</v>
      </c>
      <c r="BP38" s="82">
        <f t="shared" ref="BP38:BP41" si="8">B38+D38+F38+H38+J38+L38+N38+P38+R38+T38+V38+X38+Z38+AB38+AD38+AF38+AH38+AJ38+AL38+AN38+AP38+AR38+AT38+AV38+AX38+AZ38+BB38+BD38+BF38+BH38+BJ38+BL38+BN38</f>
        <v>10893579</v>
      </c>
      <c r="BQ38" s="82">
        <f t="shared" ref="BQ38:BQ41" si="9">C38+E38+G38+I38+K38+M38+O38+Q38+S38+U38+W38+Y38+AA38+AC38+AE38+AG38+AI38+AK38+AM38+AO38+AQ38+AS38+AU38+AW38+AY38+BA38+BC38+BE38+BG38+BI38+BK38+BM38+BO38</f>
        <v>34524212</v>
      </c>
    </row>
    <row r="39" spans="1:69" x14ac:dyDescent="0.25">
      <c r="A39" s="30" t="s">
        <v>288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>
        <v>2087</v>
      </c>
      <c r="S39" s="10">
        <v>4968</v>
      </c>
      <c r="T39" s="10"/>
      <c r="U39" s="10"/>
      <c r="V39" s="10">
        <v>-1</v>
      </c>
      <c r="W39" s="10">
        <v>-1</v>
      </c>
      <c r="X39" s="10"/>
      <c r="Y39" s="10"/>
      <c r="Z39" s="10"/>
      <c r="AA39" s="10"/>
      <c r="AB39" s="10">
        <v>17704</v>
      </c>
      <c r="AC39" s="10">
        <v>130329</v>
      </c>
      <c r="AD39" s="10"/>
      <c r="AE39" s="10">
        <v>89</v>
      </c>
      <c r="AF39" s="10"/>
      <c r="AG39" s="10"/>
      <c r="AH39" s="10"/>
      <c r="AI39" s="10"/>
      <c r="AJ39" s="86"/>
      <c r="AK39" s="10"/>
      <c r="AL39" s="10"/>
      <c r="AM39" s="10"/>
      <c r="AN39" s="10"/>
      <c r="AO39" s="10"/>
      <c r="AP39" s="155"/>
      <c r="AQ39" s="155"/>
      <c r="AR39" s="10">
        <v>19854</v>
      </c>
      <c r="AS39" s="10">
        <v>48979</v>
      </c>
      <c r="AT39" s="10">
        <v>1365</v>
      </c>
      <c r="AU39" s="10">
        <v>18678</v>
      </c>
      <c r="AV39" s="10"/>
      <c r="AW39" s="10"/>
      <c r="AX39" s="10"/>
      <c r="AY39" s="10"/>
      <c r="AZ39" s="10">
        <v>1068</v>
      </c>
      <c r="BA39" s="10">
        <v>2592</v>
      </c>
      <c r="BB39" s="10"/>
      <c r="BC39" s="10"/>
      <c r="BD39" s="10"/>
      <c r="BE39" s="10">
        <v>10418</v>
      </c>
      <c r="BF39" s="155"/>
      <c r="BG39" s="10"/>
      <c r="BH39" s="10"/>
      <c r="BI39" s="10"/>
      <c r="BJ39" s="10"/>
      <c r="BK39" s="10"/>
      <c r="BL39" s="10">
        <v>0</v>
      </c>
      <c r="BM39" s="10">
        <v>0</v>
      </c>
      <c r="BN39" s="10"/>
      <c r="BO39" s="10"/>
      <c r="BP39" s="82">
        <f t="shared" si="8"/>
        <v>42077</v>
      </c>
      <c r="BQ39" s="82">
        <f t="shared" si="9"/>
        <v>216052</v>
      </c>
    </row>
    <row r="40" spans="1:69" x14ac:dyDescent="0.25">
      <c r="A40" s="30" t="s">
        <v>289</v>
      </c>
      <c r="B40" s="10">
        <v>2724</v>
      </c>
      <c r="C40" s="10">
        <v>4793</v>
      </c>
      <c r="D40" s="10">
        <v>204788</v>
      </c>
      <c r="E40" s="10">
        <v>537426</v>
      </c>
      <c r="F40" s="10"/>
      <c r="G40" s="10"/>
      <c r="H40" s="10">
        <v>576289</v>
      </c>
      <c r="I40" s="10">
        <v>1814124</v>
      </c>
      <c r="J40" s="10">
        <v>351689</v>
      </c>
      <c r="K40" s="10">
        <v>1166970</v>
      </c>
      <c r="L40" s="10">
        <v>117631</v>
      </c>
      <c r="M40" s="10">
        <v>383939</v>
      </c>
      <c r="N40" s="10">
        <v>48682</v>
      </c>
      <c r="O40" s="10">
        <v>260367</v>
      </c>
      <c r="P40" s="10">
        <v>-13289</v>
      </c>
      <c r="Q40" s="10">
        <v>-51095</v>
      </c>
      <c r="R40" s="10">
        <v>9521</v>
      </c>
      <c r="S40" s="10">
        <v>57332</v>
      </c>
      <c r="T40" s="10"/>
      <c r="U40" s="10"/>
      <c r="V40" s="10">
        <v>62691</v>
      </c>
      <c r="W40" s="10">
        <v>175884</v>
      </c>
      <c r="X40" s="10">
        <v>731</v>
      </c>
      <c r="Y40" s="10">
        <v>2065</v>
      </c>
      <c r="Z40" s="10">
        <v>-795917</v>
      </c>
      <c r="AA40" s="10">
        <v>-3311634</v>
      </c>
      <c r="AB40" s="10">
        <v>920168</v>
      </c>
      <c r="AC40" s="10">
        <v>4908333</v>
      </c>
      <c r="AD40" s="10">
        <v>49108</v>
      </c>
      <c r="AE40" s="10">
        <v>155325</v>
      </c>
      <c r="AF40" s="10">
        <v>2238</v>
      </c>
      <c r="AG40" s="10">
        <v>10796</v>
      </c>
      <c r="AH40" s="10">
        <v>3844</v>
      </c>
      <c r="AI40" s="10">
        <v>13556</v>
      </c>
      <c r="AJ40" s="86">
        <v>-28289</v>
      </c>
      <c r="AK40" s="10">
        <v>-109508</v>
      </c>
      <c r="AL40" s="10">
        <v>26981</v>
      </c>
      <c r="AM40" s="10">
        <v>56019</v>
      </c>
      <c r="AN40" s="10">
        <v>194515</v>
      </c>
      <c r="AO40" s="10">
        <v>1077868</v>
      </c>
      <c r="AP40" s="155">
        <v>215482</v>
      </c>
      <c r="AQ40" s="155">
        <v>698642</v>
      </c>
      <c r="AR40" s="10">
        <v>112358</v>
      </c>
      <c r="AS40" s="10">
        <v>714570</v>
      </c>
      <c r="AT40" s="10">
        <v>30412</v>
      </c>
      <c r="AU40" s="10">
        <v>216455</v>
      </c>
      <c r="AV40" s="10">
        <v>19</v>
      </c>
      <c r="AW40" s="10">
        <v>46</v>
      </c>
      <c r="AX40" s="10">
        <v>82900</v>
      </c>
      <c r="AY40" s="10">
        <v>245561</v>
      </c>
      <c r="AZ40" s="10">
        <v>839580</v>
      </c>
      <c r="BA40" s="10">
        <v>2774141</v>
      </c>
      <c r="BB40" s="10">
        <v>-72029</v>
      </c>
      <c r="BC40" s="10">
        <v>-254333</v>
      </c>
      <c r="BD40" s="10">
        <v>14407</v>
      </c>
      <c r="BE40" s="10">
        <v>42069</v>
      </c>
      <c r="BF40" s="155"/>
      <c r="BG40" s="10"/>
      <c r="BH40" s="10"/>
      <c r="BI40" s="10"/>
      <c r="BJ40" s="10">
        <v>544861</v>
      </c>
      <c r="BK40" s="10">
        <v>2073769</v>
      </c>
      <c r="BL40" s="10">
        <v>99187</v>
      </c>
      <c r="BM40" s="10">
        <v>303706</v>
      </c>
      <c r="BN40" s="10">
        <v>3271</v>
      </c>
      <c r="BO40" s="10">
        <v>14767</v>
      </c>
      <c r="BP40" s="82">
        <f t="shared" si="8"/>
        <v>3604553</v>
      </c>
      <c r="BQ40" s="82">
        <f t="shared" si="9"/>
        <v>13981953</v>
      </c>
    </row>
    <row r="41" spans="1:69" x14ac:dyDescent="0.25">
      <c r="A41" s="30" t="s">
        <v>238</v>
      </c>
      <c r="B41" s="10">
        <v>10235</v>
      </c>
      <c r="C41" s="10">
        <v>9777</v>
      </c>
      <c r="D41" s="10">
        <v>66602</v>
      </c>
      <c r="E41" s="10">
        <v>372092</v>
      </c>
      <c r="F41" s="10"/>
      <c r="G41" s="10"/>
      <c r="H41" s="10">
        <v>595415</v>
      </c>
      <c r="I41" s="10">
        <v>1250908</v>
      </c>
      <c r="J41" s="10">
        <v>93528</v>
      </c>
      <c r="K41" s="10">
        <v>473787</v>
      </c>
      <c r="L41" s="10">
        <v>-31151</v>
      </c>
      <c r="M41" s="10">
        <v>-20828</v>
      </c>
      <c r="N41" s="10">
        <v>187</v>
      </c>
      <c r="O41" s="10">
        <v>100276</v>
      </c>
      <c r="P41" s="10">
        <v>-4915</v>
      </c>
      <c r="Q41" s="10">
        <v>-17622</v>
      </c>
      <c r="R41" s="10">
        <v>1656</v>
      </c>
      <c r="S41" s="10">
        <v>-20524</v>
      </c>
      <c r="T41" s="10"/>
      <c r="U41" s="10"/>
      <c r="V41" s="10">
        <v>17976</v>
      </c>
      <c r="W41" s="10">
        <v>54341</v>
      </c>
      <c r="X41" s="10">
        <v>2354</v>
      </c>
      <c r="Y41" s="10">
        <v>6937</v>
      </c>
      <c r="Z41" s="10">
        <v>-375801</v>
      </c>
      <c r="AA41" s="10">
        <v>-1717805</v>
      </c>
      <c r="AB41" s="10">
        <v>-195027</v>
      </c>
      <c r="AC41" s="10">
        <v>-2197372</v>
      </c>
      <c r="AD41" s="10">
        <v>95742</v>
      </c>
      <c r="AE41" s="10">
        <v>491271</v>
      </c>
      <c r="AF41" s="10">
        <v>20293</v>
      </c>
      <c r="AG41" s="10">
        <v>80736</v>
      </c>
      <c r="AH41" s="10">
        <v>50026</v>
      </c>
      <c r="AI41" s="10">
        <v>196898</v>
      </c>
      <c r="AJ41" s="86">
        <v>-12086</v>
      </c>
      <c r="AK41" s="10">
        <v>-54683</v>
      </c>
      <c r="AL41" s="10">
        <v>189195</v>
      </c>
      <c r="AM41" s="10">
        <v>623301</v>
      </c>
      <c r="AN41" s="10">
        <v>283294</v>
      </c>
      <c r="AO41" s="10">
        <v>365755</v>
      </c>
      <c r="AP41" s="155">
        <v>885558</v>
      </c>
      <c r="AQ41" s="155">
        <v>2753398</v>
      </c>
      <c r="AR41" s="10">
        <v>1824128</v>
      </c>
      <c r="AS41" s="10">
        <v>5494355</v>
      </c>
      <c r="AT41" s="10">
        <v>1282835</v>
      </c>
      <c r="AU41" s="10">
        <v>3166980</v>
      </c>
      <c r="AV41" s="10">
        <v>318</v>
      </c>
      <c r="AW41" s="10">
        <v>733</v>
      </c>
      <c r="AX41" s="10">
        <v>9191</v>
      </c>
      <c r="AY41" s="10">
        <v>244457</v>
      </c>
      <c r="AZ41" s="10">
        <v>-63360</v>
      </c>
      <c r="BA41" s="10">
        <v>-433188</v>
      </c>
      <c r="BB41" s="10">
        <v>81278</v>
      </c>
      <c r="BC41" s="10">
        <v>204874</v>
      </c>
      <c r="BD41" s="10">
        <v>184344</v>
      </c>
      <c r="BE41" s="10">
        <v>701650</v>
      </c>
      <c r="BF41" s="155"/>
      <c r="BG41" s="10"/>
      <c r="BH41" s="10"/>
      <c r="BI41" s="10"/>
      <c r="BJ41" s="10">
        <v>-291813</v>
      </c>
      <c r="BK41" s="10">
        <v>-1120427</v>
      </c>
      <c r="BL41" s="10">
        <v>726529</v>
      </c>
      <c r="BM41" s="10">
        <v>2095347</v>
      </c>
      <c r="BN41" s="10">
        <v>65521</v>
      </c>
      <c r="BO41" s="10">
        <v>199747</v>
      </c>
      <c r="BP41" s="82">
        <f t="shared" si="8"/>
        <v>5512052</v>
      </c>
      <c r="BQ41" s="82">
        <f t="shared" si="9"/>
        <v>13305171</v>
      </c>
    </row>
    <row r="42" spans="1:69" x14ac:dyDescent="0.25">
      <c r="A42" s="28"/>
    </row>
    <row r="43" spans="1:69" x14ac:dyDescent="0.25">
      <c r="A43" s="29" t="s">
        <v>233</v>
      </c>
    </row>
    <row r="44" spans="1:69" x14ac:dyDescent="0.25">
      <c r="A44" s="3" t="s">
        <v>0</v>
      </c>
      <c r="B44" s="111" t="s">
        <v>1</v>
      </c>
      <c r="C44" s="112"/>
      <c r="D44" s="111" t="s">
        <v>2</v>
      </c>
      <c r="E44" s="112"/>
      <c r="F44" s="111" t="s">
        <v>3</v>
      </c>
      <c r="G44" s="112"/>
      <c r="H44" s="111" t="s">
        <v>295</v>
      </c>
      <c r="I44" s="112"/>
      <c r="J44" s="111" t="s">
        <v>5</v>
      </c>
      <c r="K44" s="112"/>
      <c r="L44" s="111" t="s">
        <v>6</v>
      </c>
      <c r="M44" s="112"/>
      <c r="N44" s="111" t="s">
        <v>7</v>
      </c>
      <c r="O44" s="112"/>
      <c r="P44" s="111" t="s">
        <v>309</v>
      </c>
      <c r="Q44" s="112"/>
      <c r="R44" s="111" t="s">
        <v>9</v>
      </c>
      <c r="S44" s="112"/>
      <c r="T44" s="111" t="s">
        <v>10</v>
      </c>
      <c r="U44" s="112"/>
      <c r="V44" s="111" t="s">
        <v>11</v>
      </c>
      <c r="W44" s="112"/>
      <c r="X44" s="111" t="s">
        <v>12</v>
      </c>
      <c r="Y44" s="112"/>
      <c r="Z44" s="111" t="s">
        <v>13</v>
      </c>
      <c r="AA44" s="112"/>
      <c r="AB44" s="111" t="s">
        <v>14</v>
      </c>
      <c r="AC44" s="112"/>
      <c r="AD44" s="111" t="s">
        <v>15</v>
      </c>
      <c r="AE44" s="112"/>
      <c r="AF44" s="111" t="s">
        <v>16</v>
      </c>
      <c r="AG44" s="112"/>
      <c r="AH44" s="111" t="s">
        <v>17</v>
      </c>
      <c r="AI44" s="112"/>
      <c r="AJ44" s="111" t="s">
        <v>18</v>
      </c>
      <c r="AK44" s="112"/>
      <c r="AL44" s="111" t="s">
        <v>293</v>
      </c>
      <c r="AM44" s="112"/>
      <c r="AN44" s="111" t="s">
        <v>19</v>
      </c>
      <c r="AO44" s="112"/>
      <c r="AP44" s="111" t="s">
        <v>20</v>
      </c>
      <c r="AQ44" s="112"/>
      <c r="AR44" s="111" t="s">
        <v>21</v>
      </c>
      <c r="AS44" s="112"/>
      <c r="AT44" s="111" t="s">
        <v>22</v>
      </c>
      <c r="AU44" s="112"/>
      <c r="AV44" s="111" t="s">
        <v>23</v>
      </c>
      <c r="AW44" s="112"/>
      <c r="AX44" s="111" t="s">
        <v>24</v>
      </c>
      <c r="AY44" s="112"/>
      <c r="AZ44" s="111" t="s">
        <v>25</v>
      </c>
      <c r="BA44" s="112"/>
      <c r="BB44" s="111" t="s">
        <v>26</v>
      </c>
      <c r="BC44" s="112"/>
      <c r="BD44" s="111" t="s">
        <v>27</v>
      </c>
      <c r="BE44" s="112"/>
      <c r="BF44" s="111" t="s">
        <v>28</v>
      </c>
      <c r="BG44" s="112"/>
      <c r="BH44" s="111" t="s">
        <v>29</v>
      </c>
      <c r="BI44" s="112"/>
      <c r="BJ44" s="111" t="s">
        <v>30</v>
      </c>
      <c r="BK44" s="112"/>
      <c r="BL44" s="115" t="s">
        <v>31</v>
      </c>
      <c r="BM44" s="116"/>
      <c r="BN44" s="111" t="s">
        <v>32</v>
      </c>
      <c r="BO44" s="112"/>
      <c r="BP44" s="113" t="s">
        <v>33</v>
      </c>
      <c r="BQ44" s="114"/>
    </row>
    <row r="45" spans="1:69" ht="30" x14ac:dyDescent="0.25">
      <c r="A45" s="3"/>
      <c r="B45" s="66" t="s">
        <v>298</v>
      </c>
      <c r="C45" s="67" t="s">
        <v>299</v>
      </c>
      <c r="D45" s="66" t="s">
        <v>298</v>
      </c>
      <c r="E45" s="67" t="s">
        <v>299</v>
      </c>
      <c r="F45" s="66" t="s">
        <v>298</v>
      </c>
      <c r="G45" s="67" t="s">
        <v>299</v>
      </c>
      <c r="H45" s="66" t="s">
        <v>298</v>
      </c>
      <c r="I45" s="67" t="s">
        <v>299</v>
      </c>
      <c r="J45" s="66" t="s">
        <v>298</v>
      </c>
      <c r="K45" s="67" t="s">
        <v>299</v>
      </c>
      <c r="L45" s="66" t="s">
        <v>298</v>
      </c>
      <c r="M45" s="67" t="s">
        <v>299</v>
      </c>
      <c r="N45" s="66" t="s">
        <v>298</v>
      </c>
      <c r="O45" s="67" t="s">
        <v>299</v>
      </c>
      <c r="P45" s="66" t="s">
        <v>298</v>
      </c>
      <c r="Q45" s="67" t="s">
        <v>299</v>
      </c>
      <c r="R45" s="66" t="s">
        <v>298</v>
      </c>
      <c r="S45" s="67" t="s">
        <v>299</v>
      </c>
      <c r="T45" s="66" t="s">
        <v>298</v>
      </c>
      <c r="U45" s="67" t="s">
        <v>299</v>
      </c>
      <c r="V45" s="66" t="s">
        <v>298</v>
      </c>
      <c r="W45" s="67" t="s">
        <v>299</v>
      </c>
      <c r="X45" s="66" t="s">
        <v>298</v>
      </c>
      <c r="Y45" s="67" t="s">
        <v>299</v>
      </c>
      <c r="Z45" s="66" t="s">
        <v>298</v>
      </c>
      <c r="AA45" s="67" t="s">
        <v>299</v>
      </c>
      <c r="AB45" s="66" t="s">
        <v>298</v>
      </c>
      <c r="AC45" s="67" t="s">
        <v>299</v>
      </c>
      <c r="AD45" s="66" t="s">
        <v>298</v>
      </c>
      <c r="AE45" s="67" t="s">
        <v>299</v>
      </c>
      <c r="AF45" s="66" t="s">
        <v>298</v>
      </c>
      <c r="AG45" s="67" t="s">
        <v>299</v>
      </c>
      <c r="AH45" s="66" t="s">
        <v>298</v>
      </c>
      <c r="AI45" s="67" t="s">
        <v>299</v>
      </c>
      <c r="AJ45" s="66" t="s">
        <v>298</v>
      </c>
      <c r="AK45" s="67" t="s">
        <v>299</v>
      </c>
      <c r="AL45" s="66" t="s">
        <v>298</v>
      </c>
      <c r="AM45" s="67" t="s">
        <v>299</v>
      </c>
      <c r="AN45" s="66" t="s">
        <v>298</v>
      </c>
      <c r="AO45" s="67" t="s">
        <v>299</v>
      </c>
      <c r="AP45" s="66" t="s">
        <v>298</v>
      </c>
      <c r="AQ45" s="67" t="s">
        <v>299</v>
      </c>
      <c r="AR45" s="66" t="s">
        <v>298</v>
      </c>
      <c r="AS45" s="67" t="s">
        <v>299</v>
      </c>
      <c r="AT45" s="66" t="s">
        <v>298</v>
      </c>
      <c r="AU45" s="67" t="s">
        <v>299</v>
      </c>
      <c r="AV45" s="66" t="s">
        <v>298</v>
      </c>
      <c r="AW45" s="67" t="s">
        <v>299</v>
      </c>
      <c r="AX45" s="66" t="s">
        <v>298</v>
      </c>
      <c r="AY45" s="67" t="s">
        <v>299</v>
      </c>
      <c r="AZ45" s="66" t="s">
        <v>298</v>
      </c>
      <c r="BA45" s="67" t="s">
        <v>299</v>
      </c>
      <c r="BB45" s="66" t="s">
        <v>298</v>
      </c>
      <c r="BC45" s="67" t="s">
        <v>299</v>
      </c>
      <c r="BD45" s="66" t="s">
        <v>298</v>
      </c>
      <c r="BE45" s="67" t="s">
        <v>299</v>
      </c>
      <c r="BF45" s="66" t="s">
        <v>298</v>
      </c>
      <c r="BG45" s="67" t="s">
        <v>299</v>
      </c>
      <c r="BH45" s="66" t="s">
        <v>298</v>
      </c>
      <c r="BI45" s="67" t="s">
        <v>299</v>
      </c>
      <c r="BJ45" s="66" t="s">
        <v>298</v>
      </c>
      <c r="BK45" s="67" t="s">
        <v>299</v>
      </c>
      <c r="BL45" s="66" t="s">
        <v>298</v>
      </c>
      <c r="BM45" s="67" t="s">
        <v>299</v>
      </c>
      <c r="BN45" s="66" t="s">
        <v>298</v>
      </c>
      <c r="BO45" s="67" t="s">
        <v>299</v>
      </c>
      <c r="BP45" s="66" t="s">
        <v>298</v>
      </c>
      <c r="BQ45" s="67" t="s">
        <v>299</v>
      </c>
    </row>
    <row r="46" spans="1:69" x14ac:dyDescent="0.25">
      <c r="A46" s="30" t="s">
        <v>237</v>
      </c>
      <c r="B46" s="10"/>
      <c r="C46" s="10"/>
      <c r="D46" s="10">
        <v>124870</v>
      </c>
      <c r="E46" s="10">
        <v>150684</v>
      </c>
      <c r="F46" s="10"/>
      <c r="G46" s="10"/>
      <c r="H46" s="10">
        <v>34367</v>
      </c>
      <c r="I46" s="10">
        <v>101955</v>
      </c>
      <c r="J46" s="10">
        <v>74128</v>
      </c>
      <c r="K46" s="10">
        <v>313603</v>
      </c>
      <c r="L46" s="10">
        <v>8905</v>
      </c>
      <c r="M46" s="10">
        <v>26021</v>
      </c>
      <c r="N46" s="10">
        <v>-224241</v>
      </c>
      <c r="O46" s="10">
        <v>301690</v>
      </c>
      <c r="P46" s="10">
        <v>2419</v>
      </c>
      <c r="Q46" s="10">
        <v>8046</v>
      </c>
      <c r="R46" s="10">
        <v>78</v>
      </c>
      <c r="S46" s="10">
        <v>248</v>
      </c>
      <c r="T46" s="10"/>
      <c r="U46" s="10"/>
      <c r="V46" s="10">
        <v>22055</v>
      </c>
      <c r="W46" s="10">
        <v>84801</v>
      </c>
      <c r="X46" s="10">
        <v>108</v>
      </c>
      <c r="Y46" s="10">
        <v>-147</v>
      </c>
      <c r="Z46" s="10">
        <v>193208</v>
      </c>
      <c r="AA46" s="10">
        <v>806716</v>
      </c>
      <c r="AB46" s="10">
        <v>120862</v>
      </c>
      <c r="AC46" s="10">
        <v>482853</v>
      </c>
      <c r="AD46" s="10">
        <v>18774</v>
      </c>
      <c r="AE46" s="10">
        <v>92383</v>
      </c>
      <c r="AF46" s="10">
        <v>2987</v>
      </c>
      <c r="AG46" s="10">
        <v>10858</v>
      </c>
      <c r="AH46" s="10">
        <v>5910</v>
      </c>
      <c r="AI46" s="10">
        <v>21815</v>
      </c>
      <c r="AJ46" s="86">
        <v>397</v>
      </c>
      <c r="AK46" s="10">
        <v>3313</v>
      </c>
      <c r="AL46" s="10">
        <v>3919</v>
      </c>
      <c r="AM46" s="10">
        <v>10847</v>
      </c>
      <c r="AN46" s="10">
        <v>28273</v>
      </c>
      <c r="AO46" s="10">
        <v>88447</v>
      </c>
      <c r="AP46" s="155">
        <v>20961</v>
      </c>
      <c r="AQ46" s="155">
        <v>84556</v>
      </c>
      <c r="AR46" s="10">
        <v>84796</v>
      </c>
      <c r="AS46" s="10">
        <v>317198</v>
      </c>
      <c r="AT46" s="10">
        <v>46116</v>
      </c>
      <c r="AU46" s="10">
        <v>148111</v>
      </c>
      <c r="AV46" s="10">
        <v>7</v>
      </c>
      <c r="AW46" s="10">
        <v>42</v>
      </c>
      <c r="AX46" s="10">
        <v>13026</v>
      </c>
      <c r="AY46" s="10">
        <v>50839</v>
      </c>
      <c r="AZ46" s="10">
        <v>76336</v>
      </c>
      <c r="BA46" s="10">
        <v>228191</v>
      </c>
      <c r="BB46" s="10">
        <v>17487</v>
      </c>
      <c r="BC46" s="10">
        <v>68081</v>
      </c>
      <c r="BD46" s="10">
        <v>316866</v>
      </c>
      <c r="BE46" s="10">
        <v>929991</v>
      </c>
      <c r="BF46" s="155"/>
      <c r="BG46" s="10"/>
      <c r="BH46" s="10"/>
      <c r="BI46" s="10"/>
      <c r="BJ46" s="10">
        <v>27875</v>
      </c>
      <c r="BK46" s="10">
        <v>109572</v>
      </c>
      <c r="BL46" s="10">
        <v>61920</v>
      </c>
      <c r="BM46" s="10">
        <v>287133</v>
      </c>
      <c r="BN46" s="10">
        <v>13839</v>
      </c>
      <c r="BO46" s="10">
        <v>48640</v>
      </c>
      <c r="BP46" s="82">
        <f t="shared" ref="BP46:BP49" si="10">B46+D46+F46+H46+J46+L46+N46+P46+R46+T46+V46+X46+Z46+AB46+AD46+AF46+AH46+AJ46+AL46+AN46+AP46+AR46+AT46+AV46+AX46+AZ46+BB46+BD46+BF46+BH46+BJ46+BL46+BN46</f>
        <v>1096248</v>
      </c>
      <c r="BQ46" s="82">
        <f t="shared" ref="BQ46:BQ49" si="11">C46+E46+G46+I46+K46+M46+O46+Q46+S46+U46+W46+Y46+AA46+AC46+AE46+AG46+AI46+AK46+AM46+AO46+AQ46+AS46+AU46+AW46+AY46+BA46+BC46+BE46+BG46+BI46+BK46+BM46+BO46</f>
        <v>4776487</v>
      </c>
    </row>
    <row r="47" spans="1:69" x14ac:dyDescent="0.25">
      <c r="A47" s="30" t="s">
        <v>288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>
        <v>11</v>
      </c>
      <c r="S47" s="10">
        <v>566</v>
      </c>
      <c r="T47" s="10"/>
      <c r="U47" s="10"/>
      <c r="V47" s="10"/>
      <c r="W47" s="10"/>
      <c r="X47" s="10"/>
      <c r="Y47" s="10"/>
      <c r="Z47" s="10"/>
      <c r="AA47" s="10">
        <v>767</v>
      </c>
      <c r="AB47" s="10">
        <v>14</v>
      </c>
      <c r="AC47" s="10">
        <v>2051</v>
      </c>
      <c r="AD47" s="10"/>
      <c r="AE47" s="10"/>
      <c r="AF47" s="10"/>
      <c r="AG47" s="10"/>
      <c r="AH47" s="10"/>
      <c r="AI47" s="10"/>
      <c r="AJ47" s="86"/>
      <c r="AK47" s="10">
        <v>332</v>
      </c>
      <c r="AL47" s="10"/>
      <c r="AM47" s="10"/>
      <c r="AN47" s="10"/>
      <c r="AO47" s="10"/>
      <c r="AP47" s="155"/>
      <c r="AQ47" s="155"/>
      <c r="AR47" s="10">
        <v>3155</v>
      </c>
      <c r="AS47" s="10">
        <v>23105</v>
      </c>
      <c r="AT47" s="10">
        <v>6</v>
      </c>
      <c r="AU47" s="10">
        <v>219</v>
      </c>
      <c r="AV47" s="10"/>
      <c r="AW47" s="10"/>
      <c r="AX47" s="10"/>
      <c r="AY47" s="10"/>
      <c r="AZ47" s="10"/>
      <c r="BA47" s="10">
        <v>5</v>
      </c>
      <c r="BB47" s="10"/>
      <c r="BC47" s="10">
        <v>519</v>
      </c>
      <c r="BD47" s="10"/>
      <c r="BE47" s="10"/>
      <c r="BF47" s="155"/>
      <c r="BG47" s="10"/>
      <c r="BH47" s="10"/>
      <c r="BI47" s="10"/>
      <c r="BJ47" s="10"/>
      <c r="BK47" s="10">
        <v>4115</v>
      </c>
      <c r="BL47" s="10">
        <v>0</v>
      </c>
      <c r="BM47" s="10">
        <v>0</v>
      </c>
      <c r="BN47" s="10"/>
      <c r="BO47" s="10"/>
      <c r="BP47" s="82">
        <f t="shared" si="10"/>
        <v>3186</v>
      </c>
      <c r="BQ47" s="82">
        <f t="shared" si="11"/>
        <v>31679</v>
      </c>
    </row>
    <row r="48" spans="1:69" x14ac:dyDescent="0.25">
      <c r="A48" s="30" t="s">
        <v>289</v>
      </c>
      <c r="B48" s="10">
        <v>16</v>
      </c>
      <c r="C48" s="10">
        <v>37</v>
      </c>
      <c r="D48" s="10">
        <v>2443</v>
      </c>
      <c r="E48" s="10">
        <v>7736</v>
      </c>
      <c r="F48" s="10"/>
      <c r="G48" s="10"/>
      <c r="H48" s="10">
        <v>17600</v>
      </c>
      <c r="I48" s="10">
        <v>69242</v>
      </c>
      <c r="J48" s="10">
        <v>4624</v>
      </c>
      <c r="K48" s="10">
        <v>20530</v>
      </c>
      <c r="L48" s="10">
        <v>1054</v>
      </c>
      <c r="M48" s="10">
        <v>3407</v>
      </c>
      <c r="N48" s="10">
        <v>88286</v>
      </c>
      <c r="O48" s="10">
        <v>301082</v>
      </c>
      <c r="P48" s="10">
        <v>-4795</v>
      </c>
      <c r="Q48" s="10">
        <v>-15903</v>
      </c>
      <c r="R48" s="10">
        <v>2418</v>
      </c>
      <c r="S48" s="10">
        <v>2713</v>
      </c>
      <c r="T48" s="10"/>
      <c r="U48" s="10"/>
      <c r="V48" s="10">
        <v>5931</v>
      </c>
      <c r="W48" s="10">
        <v>7899</v>
      </c>
      <c r="X48" s="10">
        <v>275</v>
      </c>
      <c r="Y48" s="10">
        <v>904</v>
      </c>
      <c r="Z48" s="10">
        <v>-281170</v>
      </c>
      <c r="AA48" s="10">
        <v>-1149208</v>
      </c>
      <c r="AB48" s="10">
        <v>3414</v>
      </c>
      <c r="AC48" s="10">
        <v>397980</v>
      </c>
      <c r="AD48" s="10">
        <v>3231</v>
      </c>
      <c r="AE48" s="10">
        <v>14128</v>
      </c>
      <c r="AF48" s="10">
        <v>19648</v>
      </c>
      <c r="AG48" s="10">
        <v>68414</v>
      </c>
      <c r="AH48" s="10">
        <v>428</v>
      </c>
      <c r="AI48" s="10">
        <v>1558</v>
      </c>
      <c r="AJ48" s="86">
        <v>-394</v>
      </c>
      <c r="AK48" s="10">
        <v>-874</v>
      </c>
      <c r="AL48" s="10">
        <v>2416</v>
      </c>
      <c r="AM48" s="10">
        <v>3896</v>
      </c>
      <c r="AN48" s="10">
        <v>7934</v>
      </c>
      <c r="AO48" s="10">
        <v>25446</v>
      </c>
      <c r="AP48" s="155"/>
      <c r="AQ48" s="155"/>
      <c r="AR48" s="10">
        <v>6468</v>
      </c>
      <c r="AS48" s="10">
        <v>27039</v>
      </c>
      <c r="AT48" s="10">
        <v>4149</v>
      </c>
      <c r="AU48" s="10">
        <v>11194</v>
      </c>
      <c r="AV48" s="10">
        <v>45</v>
      </c>
      <c r="AW48" s="10">
        <v>362</v>
      </c>
      <c r="AX48" s="10">
        <v>8309</v>
      </c>
      <c r="AY48" s="10">
        <v>11538</v>
      </c>
      <c r="AZ48" s="10">
        <v>2749</v>
      </c>
      <c r="BA48" s="10">
        <v>16709</v>
      </c>
      <c r="BB48" s="10">
        <v>-1558</v>
      </c>
      <c r="BC48" s="10">
        <v>-16968</v>
      </c>
      <c r="BD48" s="10">
        <v>21111</v>
      </c>
      <c r="BE48" s="10">
        <v>60960</v>
      </c>
      <c r="BF48" s="155"/>
      <c r="BG48" s="10"/>
      <c r="BH48" s="10"/>
      <c r="BI48" s="10"/>
      <c r="BJ48" s="10">
        <v>-75</v>
      </c>
      <c r="BK48" s="10">
        <v>13248</v>
      </c>
      <c r="BL48" s="10">
        <v>66828</v>
      </c>
      <c r="BM48" s="10">
        <v>339407</v>
      </c>
      <c r="BN48" s="10">
        <v>6284</v>
      </c>
      <c r="BO48" s="10">
        <v>40106</v>
      </c>
      <c r="BP48" s="82">
        <f t="shared" si="10"/>
        <v>-12331</v>
      </c>
      <c r="BQ48" s="82">
        <f t="shared" si="11"/>
        <v>262582</v>
      </c>
    </row>
    <row r="49" spans="1:69" x14ac:dyDescent="0.25">
      <c r="A49" s="30" t="s">
        <v>238</v>
      </c>
      <c r="B49" s="10">
        <v>-16</v>
      </c>
      <c r="C49" s="10">
        <v>-37</v>
      </c>
      <c r="D49" s="10">
        <v>122428</v>
      </c>
      <c r="E49" s="10">
        <v>142948</v>
      </c>
      <c r="F49" s="10"/>
      <c r="G49" s="10"/>
      <c r="H49" s="10">
        <v>16767</v>
      </c>
      <c r="I49" s="10">
        <v>32713</v>
      </c>
      <c r="J49" s="10">
        <v>69504</v>
      </c>
      <c r="K49" s="10">
        <v>293073</v>
      </c>
      <c r="L49" s="10">
        <v>7852</v>
      </c>
      <c r="M49" s="10">
        <v>22614</v>
      </c>
      <c r="N49" s="10">
        <v>-312527</v>
      </c>
      <c r="O49" s="10">
        <v>608</v>
      </c>
      <c r="P49" s="10">
        <v>-2376</v>
      </c>
      <c r="Q49" s="10">
        <v>-7857</v>
      </c>
      <c r="R49" s="10">
        <v>-2329</v>
      </c>
      <c r="S49" s="10">
        <v>-1899</v>
      </c>
      <c r="T49" s="10"/>
      <c r="U49" s="10"/>
      <c r="V49" s="10">
        <v>16124</v>
      </c>
      <c r="W49" s="10">
        <v>76902</v>
      </c>
      <c r="X49" s="10">
        <v>-166</v>
      </c>
      <c r="Y49" s="10">
        <v>-1051</v>
      </c>
      <c r="Z49" s="10">
        <v>-87961</v>
      </c>
      <c r="AA49" s="10">
        <v>-341725</v>
      </c>
      <c r="AB49" s="10">
        <v>117462</v>
      </c>
      <c r="AC49" s="10">
        <v>86924</v>
      </c>
      <c r="AD49" s="10">
        <v>15543</v>
      </c>
      <c r="AE49" s="10">
        <v>78255</v>
      </c>
      <c r="AF49" s="10">
        <v>-16661</v>
      </c>
      <c r="AG49" s="10">
        <v>-57556</v>
      </c>
      <c r="AH49" s="10">
        <v>5482</v>
      </c>
      <c r="AI49" s="10">
        <v>20257</v>
      </c>
      <c r="AJ49" s="86">
        <v>3</v>
      </c>
      <c r="AK49" s="10">
        <v>2771</v>
      </c>
      <c r="AL49" s="10">
        <v>1503</v>
      </c>
      <c r="AM49" s="10">
        <v>6951</v>
      </c>
      <c r="AN49" s="10">
        <v>20339</v>
      </c>
      <c r="AO49" s="10">
        <v>63001</v>
      </c>
      <c r="AP49" s="155">
        <v>20961</v>
      </c>
      <c r="AQ49" s="155">
        <v>84556</v>
      </c>
      <c r="AR49" s="10">
        <v>81483</v>
      </c>
      <c r="AS49" s="10">
        <v>313264</v>
      </c>
      <c r="AT49" s="10">
        <v>41973</v>
      </c>
      <c r="AU49" s="10">
        <v>137136</v>
      </c>
      <c r="AV49" s="10">
        <v>-37</v>
      </c>
      <c r="AW49" s="10">
        <v>-320</v>
      </c>
      <c r="AX49" s="10">
        <v>4717</v>
      </c>
      <c r="AY49" s="10">
        <v>39301</v>
      </c>
      <c r="AZ49" s="10">
        <v>73587</v>
      </c>
      <c r="BA49" s="10">
        <v>211487</v>
      </c>
      <c r="BB49" s="10">
        <v>15929</v>
      </c>
      <c r="BC49" s="10">
        <v>51632</v>
      </c>
      <c r="BD49" s="10">
        <v>295755</v>
      </c>
      <c r="BE49" s="10">
        <v>869031</v>
      </c>
      <c r="BF49" s="155"/>
      <c r="BG49" s="10"/>
      <c r="BH49" s="10"/>
      <c r="BI49" s="10"/>
      <c r="BJ49" s="10">
        <v>27950</v>
      </c>
      <c r="BK49" s="10">
        <v>100439</v>
      </c>
      <c r="BL49" s="10">
        <v>-4908</v>
      </c>
      <c r="BM49" s="10">
        <v>-52274</v>
      </c>
      <c r="BN49" s="10">
        <v>7555</v>
      </c>
      <c r="BO49" s="10">
        <v>8534</v>
      </c>
      <c r="BP49" s="82">
        <f t="shared" si="10"/>
        <v>535936</v>
      </c>
      <c r="BQ49" s="82">
        <f t="shared" si="11"/>
        <v>2179678</v>
      </c>
    </row>
    <row r="50" spans="1:69" x14ac:dyDescent="0.25">
      <c r="A50" s="28"/>
    </row>
    <row r="51" spans="1:69" x14ac:dyDescent="0.25">
      <c r="A51" s="29" t="s">
        <v>234</v>
      </c>
    </row>
    <row r="52" spans="1:69" x14ac:dyDescent="0.25">
      <c r="A52" s="3" t="s">
        <v>0</v>
      </c>
      <c r="B52" s="111" t="s">
        <v>1</v>
      </c>
      <c r="C52" s="112"/>
      <c r="D52" s="111" t="s">
        <v>2</v>
      </c>
      <c r="E52" s="112"/>
      <c r="F52" s="111" t="s">
        <v>3</v>
      </c>
      <c r="G52" s="112"/>
      <c r="H52" s="111" t="s">
        <v>295</v>
      </c>
      <c r="I52" s="112"/>
      <c r="J52" s="111" t="s">
        <v>5</v>
      </c>
      <c r="K52" s="112"/>
      <c r="L52" s="111" t="s">
        <v>6</v>
      </c>
      <c r="M52" s="112"/>
      <c r="N52" s="111" t="s">
        <v>7</v>
      </c>
      <c r="O52" s="112"/>
      <c r="P52" s="111" t="s">
        <v>309</v>
      </c>
      <c r="Q52" s="112"/>
      <c r="R52" s="111" t="s">
        <v>9</v>
      </c>
      <c r="S52" s="112"/>
      <c r="T52" s="111" t="s">
        <v>10</v>
      </c>
      <c r="U52" s="112"/>
      <c r="V52" s="111" t="s">
        <v>11</v>
      </c>
      <c r="W52" s="112"/>
      <c r="X52" s="111" t="s">
        <v>12</v>
      </c>
      <c r="Y52" s="112"/>
      <c r="Z52" s="111" t="s">
        <v>13</v>
      </c>
      <c r="AA52" s="112"/>
      <c r="AB52" s="111" t="s">
        <v>14</v>
      </c>
      <c r="AC52" s="112"/>
      <c r="AD52" s="111" t="s">
        <v>15</v>
      </c>
      <c r="AE52" s="112"/>
      <c r="AF52" s="111" t="s">
        <v>16</v>
      </c>
      <c r="AG52" s="112"/>
      <c r="AH52" s="111" t="s">
        <v>17</v>
      </c>
      <c r="AI52" s="112"/>
      <c r="AJ52" s="111" t="s">
        <v>18</v>
      </c>
      <c r="AK52" s="112"/>
      <c r="AL52" s="111" t="s">
        <v>293</v>
      </c>
      <c r="AM52" s="112"/>
      <c r="AN52" s="111" t="s">
        <v>19</v>
      </c>
      <c r="AO52" s="112"/>
      <c r="AP52" s="111" t="s">
        <v>20</v>
      </c>
      <c r="AQ52" s="112"/>
      <c r="AR52" s="111" t="s">
        <v>21</v>
      </c>
      <c r="AS52" s="112"/>
      <c r="AT52" s="111" t="s">
        <v>22</v>
      </c>
      <c r="AU52" s="112"/>
      <c r="AV52" s="111" t="s">
        <v>23</v>
      </c>
      <c r="AW52" s="112"/>
      <c r="AX52" s="111" t="s">
        <v>24</v>
      </c>
      <c r="AY52" s="112"/>
      <c r="AZ52" s="111" t="s">
        <v>25</v>
      </c>
      <c r="BA52" s="112"/>
      <c r="BB52" s="111" t="s">
        <v>26</v>
      </c>
      <c r="BC52" s="112"/>
      <c r="BD52" s="111" t="s">
        <v>27</v>
      </c>
      <c r="BE52" s="112"/>
      <c r="BF52" s="111" t="s">
        <v>28</v>
      </c>
      <c r="BG52" s="112"/>
      <c r="BH52" s="111" t="s">
        <v>29</v>
      </c>
      <c r="BI52" s="112"/>
      <c r="BJ52" s="111" t="s">
        <v>30</v>
      </c>
      <c r="BK52" s="112"/>
      <c r="BL52" s="115" t="s">
        <v>31</v>
      </c>
      <c r="BM52" s="116"/>
      <c r="BN52" s="111" t="s">
        <v>32</v>
      </c>
      <c r="BO52" s="112"/>
      <c r="BP52" s="113" t="s">
        <v>33</v>
      </c>
      <c r="BQ52" s="114"/>
    </row>
    <row r="53" spans="1:69" ht="30" x14ac:dyDescent="0.25">
      <c r="A53" s="3"/>
      <c r="B53" s="66" t="s">
        <v>298</v>
      </c>
      <c r="C53" s="67" t="s">
        <v>299</v>
      </c>
      <c r="D53" s="66" t="s">
        <v>298</v>
      </c>
      <c r="E53" s="67" t="s">
        <v>299</v>
      </c>
      <c r="F53" s="66" t="s">
        <v>298</v>
      </c>
      <c r="G53" s="67" t="s">
        <v>299</v>
      </c>
      <c r="H53" s="66" t="s">
        <v>298</v>
      </c>
      <c r="I53" s="67" t="s">
        <v>299</v>
      </c>
      <c r="J53" s="66" t="s">
        <v>298</v>
      </c>
      <c r="K53" s="67" t="s">
        <v>299</v>
      </c>
      <c r="L53" s="66" t="s">
        <v>298</v>
      </c>
      <c r="M53" s="67" t="s">
        <v>299</v>
      </c>
      <c r="N53" s="66" t="s">
        <v>298</v>
      </c>
      <c r="O53" s="67" t="s">
        <v>299</v>
      </c>
      <c r="P53" s="66" t="s">
        <v>298</v>
      </c>
      <c r="Q53" s="67" t="s">
        <v>299</v>
      </c>
      <c r="R53" s="66" t="s">
        <v>298</v>
      </c>
      <c r="S53" s="67" t="s">
        <v>299</v>
      </c>
      <c r="T53" s="66" t="s">
        <v>298</v>
      </c>
      <c r="U53" s="67" t="s">
        <v>299</v>
      </c>
      <c r="V53" s="66" t="s">
        <v>298</v>
      </c>
      <c r="W53" s="67" t="s">
        <v>299</v>
      </c>
      <c r="X53" s="66" t="s">
        <v>298</v>
      </c>
      <c r="Y53" s="67" t="s">
        <v>299</v>
      </c>
      <c r="Z53" s="66" t="s">
        <v>298</v>
      </c>
      <c r="AA53" s="67" t="s">
        <v>299</v>
      </c>
      <c r="AB53" s="66" t="s">
        <v>298</v>
      </c>
      <c r="AC53" s="67" t="s">
        <v>299</v>
      </c>
      <c r="AD53" s="66" t="s">
        <v>298</v>
      </c>
      <c r="AE53" s="67" t="s">
        <v>299</v>
      </c>
      <c r="AF53" s="66" t="s">
        <v>298</v>
      </c>
      <c r="AG53" s="67" t="s">
        <v>299</v>
      </c>
      <c r="AH53" s="66" t="s">
        <v>298</v>
      </c>
      <c r="AI53" s="67" t="s">
        <v>299</v>
      </c>
      <c r="AJ53" s="66" t="s">
        <v>298</v>
      </c>
      <c r="AK53" s="67" t="s">
        <v>299</v>
      </c>
      <c r="AL53" s="66" t="s">
        <v>298</v>
      </c>
      <c r="AM53" s="67" t="s">
        <v>299</v>
      </c>
      <c r="AN53" s="66" t="s">
        <v>298</v>
      </c>
      <c r="AO53" s="67" t="s">
        <v>299</v>
      </c>
      <c r="AP53" s="66" t="s">
        <v>298</v>
      </c>
      <c r="AQ53" s="67" t="s">
        <v>299</v>
      </c>
      <c r="AR53" s="66" t="s">
        <v>298</v>
      </c>
      <c r="AS53" s="67" t="s">
        <v>299</v>
      </c>
      <c r="AT53" s="66" t="s">
        <v>298</v>
      </c>
      <c r="AU53" s="67" t="s">
        <v>299</v>
      </c>
      <c r="AV53" s="66" t="s">
        <v>298</v>
      </c>
      <c r="AW53" s="67" t="s">
        <v>299</v>
      </c>
      <c r="AX53" s="66" t="s">
        <v>298</v>
      </c>
      <c r="AY53" s="67" t="s">
        <v>299</v>
      </c>
      <c r="AZ53" s="66" t="s">
        <v>298</v>
      </c>
      <c r="BA53" s="67" t="s">
        <v>299</v>
      </c>
      <c r="BB53" s="66" t="s">
        <v>298</v>
      </c>
      <c r="BC53" s="67" t="s">
        <v>299</v>
      </c>
      <c r="BD53" s="66" t="s">
        <v>298</v>
      </c>
      <c r="BE53" s="67" t="s">
        <v>299</v>
      </c>
      <c r="BF53" s="66" t="s">
        <v>298</v>
      </c>
      <c r="BG53" s="67" t="s">
        <v>299</v>
      </c>
      <c r="BH53" s="66" t="s">
        <v>298</v>
      </c>
      <c r="BI53" s="67" t="s">
        <v>299</v>
      </c>
      <c r="BJ53" s="66" t="s">
        <v>298</v>
      </c>
      <c r="BK53" s="67" t="s">
        <v>299</v>
      </c>
      <c r="BL53" s="66" t="s">
        <v>298</v>
      </c>
      <c r="BM53" s="67" t="s">
        <v>299</v>
      </c>
      <c r="BN53" s="66" t="s">
        <v>298</v>
      </c>
      <c r="BO53" s="67" t="s">
        <v>299</v>
      </c>
      <c r="BP53" s="66" t="s">
        <v>298</v>
      </c>
      <c r="BQ53" s="67" t="s">
        <v>299</v>
      </c>
    </row>
    <row r="54" spans="1:69" x14ac:dyDescent="0.25">
      <c r="A54" s="30" t="s">
        <v>237</v>
      </c>
      <c r="B54" s="10"/>
      <c r="C54" s="10"/>
      <c r="D54" s="10"/>
      <c r="E54" s="10"/>
      <c r="F54" s="10"/>
      <c r="G54" s="10"/>
      <c r="H54" s="10"/>
      <c r="I54" s="10"/>
      <c r="J54" s="10">
        <v>5504</v>
      </c>
      <c r="K54" s="10">
        <v>29493</v>
      </c>
      <c r="L54" s="10">
        <v>3930</v>
      </c>
      <c r="M54" s="10">
        <v>26006</v>
      </c>
      <c r="N54" s="10">
        <v>1469</v>
      </c>
      <c r="O54" s="10">
        <v>6394</v>
      </c>
      <c r="P54" s="10"/>
      <c r="Q54" s="10"/>
      <c r="R54" s="10"/>
      <c r="S54" s="10"/>
      <c r="T54" s="10"/>
      <c r="U54" s="10"/>
      <c r="V54" s="10">
        <v>5218</v>
      </c>
      <c r="W54" s="10">
        <v>21924</v>
      </c>
      <c r="X54" s="10"/>
      <c r="Y54" s="10"/>
      <c r="Z54" s="10">
        <v>541</v>
      </c>
      <c r="AA54" s="10">
        <v>2593</v>
      </c>
      <c r="AB54" s="10">
        <v>5076</v>
      </c>
      <c r="AC54" s="10">
        <v>25770</v>
      </c>
      <c r="AD54" s="10">
        <v>15924</v>
      </c>
      <c r="AE54" s="10">
        <v>86900</v>
      </c>
      <c r="AF54" s="10"/>
      <c r="AG54" s="10"/>
      <c r="AH54" s="10">
        <v>3558</v>
      </c>
      <c r="AI54" s="10">
        <v>13502</v>
      </c>
      <c r="AJ54" s="86">
        <v>-1</v>
      </c>
      <c r="AK54" s="10">
        <v>54</v>
      </c>
      <c r="AL54" s="10"/>
      <c r="AM54" s="10"/>
      <c r="AN54" s="10"/>
      <c r="AO54" s="10"/>
      <c r="AP54" s="155">
        <v>14712</v>
      </c>
      <c r="AQ54" s="155">
        <v>66684</v>
      </c>
      <c r="AR54" s="10">
        <v>218549</v>
      </c>
      <c r="AS54" s="10">
        <v>849613</v>
      </c>
      <c r="AT54" s="10">
        <v>21018</v>
      </c>
      <c r="AU54" s="10">
        <v>74788</v>
      </c>
      <c r="AV54" s="10">
        <v>2530</v>
      </c>
      <c r="AW54" s="10">
        <v>9233</v>
      </c>
      <c r="AX54" s="10">
        <v>3817</v>
      </c>
      <c r="AY54" s="10">
        <v>29014</v>
      </c>
      <c r="AZ54" s="10"/>
      <c r="BA54" s="10"/>
      <c r="BB54" s="10">
        <v>33</v>
      </c>
      <c r="BC54" s="10">
        <v>7574</v>
      </c>
      <c r="BD54" s="10">
        <v>5833</v>
      </c>
      <c r="BE54" s="10">
        <v>19346</v>
      </c>
      <c r="BF54" s="155"/>
      <c r="BG54" s="10"/>
      <c r="BH54" s="10"/>
      <c r="BI54" s="10"/>
      <c r="BJ54" s="10">
        <v>60614</v>
      </c>
      <c r="BK54" s="10">
        <v>375534</v>
      </c>
      <c r="BL54" s="10">
        <v>41191</v>
      </c>
      <c r="BM54" s="10">
        <v>107870</v>
      </c>
      <c r="BN54" s="10">
        <v>378</v>
      </c>
      <c r="BO54" s="10">
        <v>2824</v>
      </c>
      <c r="BP54" s="82">
        <f t="shared" ref="BP54:BP57" si="12">B54+D54+F54+H54+J54+L54+N54+P54+R54+T54+V54+X54+Z54+AB54+AD54+AF54+AH54+AJ54+AL54+AN54+AP54+AR54+AT54+AV54+AX54+AZ54+BB54+BD54+BF54+BH54+BJ54+BL54+BN54</f>
        <v>409894</v>
      </c>
      <c r="BQ54" s="82">
        <f t="shared" ref="BQ54:BQ57" si="13">C54+E54+G54+I54+K54+M54+O54+Q54+S54+U54+W54+Y54+AA54+AC54+AE54+AG54+AI54+AK54+AM54+AO54+AQ54+AS54+AU54+AW54+AY54+BA54+BC54+BE54+BG54+BI54+BK54+BM54+BO54</f>
        <v>1755116</v>
      </c>
    </row>
    <row r="55" spans="1:69" x14ac:dyDescent="0.25">
      <c r="A55" s="30" t="s">
        <v>288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1197</v>
      </c>
      <c r="M55" s="10">
        <v>1545</v>
      </c>
      <c r="N55" s="10"/>
      <c r="O55" s="10"/>
      <c r="P55" s="10"/>
      <c r="Q55" s="10"/>
      <c r="R55" s="10"/>
      <c r="S55" s="10"/>
      <c r="T55" s="10"/>
      <c r="U55" s="10"/>
      <c r="V55" s="10">
        <v>335</v>
      </c>
      <c r="W55" s="10">
        <v>4035</v>
      </c>
      <c r="X55" s="10"/>
      <c r="Y55" s="10"/>
      <c r="Z55" s="10">
        <v>412</v>
      </c>
      <c r="AA55" s="10">
        <v>733</v>
      </c>
      <c r="AB55" s="10"/>
      <c r="AC55" s="10"/>
      <c r="AD55" s="10">
        <v>3258</v>
      </c>
      <c r="AE55" s="10">
        <v>4837</v>
      </c>
      <c r="AF55" s="10"/>
      <c r="AG55" s="10"/>
      <c r="AH55" s="10"/>
      <c r="AI55" s="10"/>
      <c r="AJ55" s="86"/>
      <c r="AK55" s="10"/>
      <c r="AL55" s="10"/>
      <c r="AM55" s="10"/>
      <c r="AN55" s="10"/>
      <c r="AO55" s="10"/>
      <c r="AP55" s="155"/>
      <c r="AQ55" s="155"/>
      <c r="AR55" s="10">
        <v>2106</v>
      </c>
      <c r="AS55" s="10">
        <v>2564</v>
      </c>
      <c r="AT55" s="10">
        <v>86</v>
      </c>
      <c r="AU55" s="10">
        <v>130</v>
      </c>
      <c r="AV55" s="10">
        <v>208</v>
      </c>
      <c r="AW55" s="10">
        <v>5594</v>
      </c>
      <c r="AX55" s="10"/>
      <c r="AY55" s="10">
        <v>136</v>
      </c>
      <c r="AZ55" s="10"/>
      <c r="BA55" s="10"/>
      <c r="BB55" s="10"/>
      <c r="BC55" s="10"/>
      <c r="BD55" s="10">
        <v>389</v>
      </c>
      <c r="BE55" s="10">
        <v>3700</v>
      </c>
      <c r="BF55" s="155"/>
      <c r="BG55" s="10"/>
      <c r="BH55" s="10"/>
      <c r="BI55" s="10"/>
      <c r="BJ55" s="10">
        <v>10488</v>
      </c>
      <c r="BK55" s="10">
        <v>61239</v>
      </c>
      <c r="BL55" s="10">
        <v>0</v>
      </c>
      <c r="BM55" s="10">
        <v>399</v>
      </c>
      <c r="BN55" s="10"/>
      <c r="BO55" s="10"/>
      <c r="BP55" s="82">
        <f t="shared" si="12"/>
        <v>18479</v>
      </c>
      <c r="BQ55" s="82">
        <f t="shared" si="13"/>
        <v>84912</v>
      </c>
    </row>
    <row r="56" spans="1:69" x14ac:dyDescent="0.25">
      <c r="A56" s="30" t="s">
        <v>289</v>
      </c>
      <c r="B56" s="10">
        <v>30360</v>
      </c>
      <c r="C56" s="10">
        <v>49370</v>
      </c>
      <c r="D56" s="10"/>
      <c r="E56" s="10"/>
      <c r="F56" s="10"/>
      <c r="G56" s="10"/>
      <c r="H56" s="10"/>
      <c r="I56" s="10"/>
      <c r="J56" s="10">
        <v>8424</v>
      </c>
      <c r="K56" s="10">
        <v>25041</v>
      </c>
      <c r="L56" s="10">
        <v>7832</v>
      </c>
      <c r="M56" s="10">
        <v>18753</v>
      </c>
      <c r="N56" s="10">
        <v>499</v>
      </c>
      <c r="O56" s="10">
        <v>3596</v>
      </c>
      <c r="P56" s="10"/>
      <c r="Q56" s="10"/>
      <c r="R56" s="10"/>
      <c r="S56" s="10"/>
      <c r="T56" s="10"/>
      <c r="U56" s="10"/>
      <c r="V56" s="10">
        <v>4596</v>
      </c>
      <c r="W56" s="10">
        <v>27836</v>
      </c>
      <c r="X56" s="10"/>
      <c r="Y56" s="10"/>
      <c r="Z56" s="10">
        <v>-715</v>
      </c>
      <c r="AA56" s="10">
        <v>-1032</v>
      </c>
      <c r="AB56" s="10">
        <v>18561</v>
      </c>
      <c r="AC56" s="10">
        <v>33590</v>
      </c>
      <c r="AD56" s="10">
        <v>5837</v>
      </c>
      <c r="AE56" s="10">
        <v>16746</v>
      </c>
      <c r="AF56" s="10"/>
      <c r="AG56" s="10"/>
      <c r="AH56" s="10">
        <v>676</v>
      </c>
      <c r="AI56" s="10">
        <v>1359</v>
      </c>
      <c r="AJ56" s="86">
        <v>-9</v>
      </c>
      <c r="AK56" s="10">
        <v>-73</v>
      </c>
      <c r="AL56" s="10"/>
      <c r="AM56" s="10"/>
      <c r="AN56" s="10"/>
      <c r="AO56" s="10"/>
      <c r="AP56" s="155"/>
      <c r="AQ56" s="155"/>
      <c r="AR56" s="10">
        <v>124368</v>
      </c>
      <c r="AS56" s="10">
        <v>246419</v>
      </c>
      <c r="AT56" s="10">
        <v>2364</v>
      </c>
      <c r="AU56" s="10">
        <v>9266</v>
      </c>
      <c r="AV56" s="10">
        <v>122</v>
      </c>
      <c r="AW56" s="10">
        <v>650</v>
      </c>
      <c r="AX56" s="10">
        <v>5471</v>
      </c>
      <c r="AY56" s="10">
        <v>11422</v>
      </c>
      <c r="AZ56" s="10"/>
      <c r="BA56" s="10"/>
      <c r="BB56" s="10">
        <v>-4408</v>
      </c>
      <c r="BC56" s="10">
        <v>-11057</v>
      </c>
      <c r="BD56" s="10">
        <v>9394</v>
      </c>
      <c r="BE56" s="10">
        <v>39774</v>
      </c>
      <c r="BF56" s="155"/>
      <c r="BG56" s="10"/>
      <c r="BH56" s="10"/>
      <c r="BI56" s="10"/>
      <c r="BJ56" s="10">
        <v>105163</v>
      </c>
      <c r="BK56" s="10">
        <v>619971</v>
      </c>
      <c r="BL56" s="10">
        <v>2147</v>
      </c>
      <c r="BM56" s="10">
        <v>8288</v>
      </c>
      <c r="BN56" s="10">
        <v>141</v>
      </c>
      <c r="BO56" s="10">
        <v>2238</v>
      </c>
      <c r="BP56" s="82">
        <f t="shared" si="12"/>
        <v>320823</v>
      </c>
      <c r="BQ56" s="82">
        <f t="shared" si="13"/>
        <v>1102157</v>
      </c>
    </row>
    <row r="57" spans="1:69" x14ac:dyDescent="0.25">
      <c r="A57" s="30" t="s">
        <v>238</v>
      </c>
      <c r="B57" s="10">
        <v>-30360</v>
      </c>
      <c r="C57" s="10">
        <v>-49370</v>
      </c>
      <c r="D57" s="10"/>
      <c r="E57" s="10"/>
      <c r="F57" s="10"/>
      <c r="G57" s="10"/>
      <c r="H57" s="10"/>
      <c r="I57" s="10"/>
      <c r="J57" s="10">
        <v>-2920</v>
      </c>
      <c r="K57" s="10">
        <v>4452</v>
      </c>
      <c r="L57" s="10">
        <v>-2706</v>
      </c>
      <c r="M57" s="10">
        <v>8798</v>
      </c>
      <c r="N57" s="10">
        <v>970</v>
      </c>
      <c r="O57" s="10">
        <v>2798</v>
      </c>
      <c r="P57" s="10"/>
      <c r="Q57" s="10"/>
      <c r="R57" s="10"/>
      <c r="S57" s="10"/>
      <c r="T57" s="10"/>
      <c r="U57" s="10"/>
      <c r="V57" s="10">
        <v>957</v>
      </c>
      <c r="W57" s="10">
        <v>-1878</v>
      </c>
      <c r="X57" s="10"/>
      <c r="Y57" s="10"/>
      <c r="Z57" s="10">
        <v>238</v>
      </c>
      <c r="AA57" s="10">
        <v>2293</v>
      </c>
      <c r="AB57" s="10">
        <v>-13485</v>
      </c>
      <c r="AC57" s="10">
        <v>-7820</v>
      </c>
      <c r="AD57" s="10">
        <v>13345</v>
      </c>
      <c r="AE57" s="10">
        <v>74991</v>
      </c>
      <c r="AF57" s="10"/>
      <c r="AG57" s="10"/>
      <c r="AH57" s="10">
        <v>2881</v>
      </c>
      <c r="AI57" s="10">
        <v>12144</v>
      </c>
      <c r="AJ57" s="86">
        <v>-10</v>
      </c>
      <c r="AK57" s="10">
        <v>-19</v>
      </c>
      <c r="AL57" s="10"/>
      <c r="AM57" s="10"/>
      <c r="AN57" s="10"/>
      <c r="AO57" s="10"/>
      <c r="AP57" s="155">
        <v>14712</v>
      </c>
      <c r="AQ57" s="155">
        <v>66684</v>
      </c>
      <c r="AR57" s="10">
        <v>96287</v>
      </c>
      <c r="AS57" s="10">
        <v>605758</v>
      </c>
      <c r="AT57" s="10">
        <v>18740</v>
      </c>
      <c r="AU57" s="10">
        <v>65652</v>
      </c>
      <c r="AV57" s="10">
        <v>2617</v>
      </c>
      <c r="AW57" s="10">
        <v>14177</v>
      </c>
      <c r="AX57" s="10">
        <v>-1654</v>
      </c>
      <c r="AY57" s="10">
        <v>17728</v>
      </c>
      <c r="AZ57" s="10"/>
      <c r="BA57" s="10"/>
      <c r="BB57" s="10">
        <v>-4375</v>
      </c>
      <c r="BC57" s="10">
        <v>-3483</v>
      </c>
      <c r="BD57" s="10">
        <v>-3172</v>
      </c>
      <c r="BE57" s="10">
        <v>-16728</v>
      </c>
      <c r="BF57" s="155"/>
      <c r="BG57" s="10"/>
      <c r="BH57" s="10"/>
      <c r="BI57" s="10"/>
      <c r="BJ57" s="10">
        <v>-34061</v>
      </c>
      <c r="BK57" s="10">
        <v>-183198</v>
      </c>
      <c r="BL57" s="10">
        <v>39044</v>
      </c>
      <c r="BM57" s="10">
        <v>99981</v>
      </c>
      <c r="BN57" s="10">
        <v>237</v>
      </c>
      <c r="BO57" s="10">
        <v>586</v>
      </c>
      <c r="BP57" s="82">
        <f t="shared" si="12"/>
        <v>97285</v>
      </c>
      <c r="BQ57" s="82">
        <f t="shared" si="13"/>
        <v>713546</v>
      </c>
    </row>
    <row r="58" spans="1:69" x14ac:dyDescent="0.25">
      <c r="A58" s="31"/>
    </row>
    <row r="59" spans="1:69" x14ac:dyDescent="0.25">
      <c r="A59" s="32" t="s">
        <v>235</v>
      </c>
    </row>
    <row r="60" spans="1:69" x14ac:dyDescent="0.25">
      <c r="A60" s="3" t="s">
        <v>0</v>
      </c>
      <c r="B60" s="111" t="s">
        <v>1</v>
      </c>
      <c r="C60" s="112"/>
      <c r="D60" s="111" t="s">
        <v>2</v>
      </c>
      <c r="E60" s="112"/>
      <c r="F60" s="111" t="s">
        <v>3</v>
      </c>
      <c r="G60" s="112"/>
      <c r="H60" s="111" t="s">
        <v>295</v>
      </c>
      <c r="I60" s="112"/>
      <c r="J60" s="111" t="s">
        <v>5</v>
      </c>
      <c r="K60" s="112"/>
      <c r="L60" s="111" t="s">
        <v>6</v>
      </c>
      <c r="M60" s="112"/>
      <c r="N60" s="111" t="s">
        <v>7</v>
      </c>
      <c r="O60" s="112"/>
      <c r="P60" s="111" t="s">
        <v>309</v>
      </c>
      <c r="Q60" s="112"/>
      <c r="R60" s="111" t="s">
        <v>9</v>
      </c>
      <c r="S60" s="112"/>
      <c r="T60" s="111" t="s">
        <v>10</v>
      </c>
      <c r="U60" s="112"/>
      <c r="V60" s="111" t="s">
        <v>11</v>
      </c>
      <c r="W60" s="112"/>
      <c r="X60" s="111" t="s">
        <v>12</v>
      </c>
      <c r="Y60" s="112"/>
      <c r="Z60" s="111" t="s">
        <v>13</v>
      </c>
      <c r="AA60" s="112"/>
      <c r="AB60" s="111" t="s">
        <v>14</v>
      </c>
      <c r="AC60" s="112"/>
      <c r="AD60" s="111" t="s">
        <v>15</v>
      </c>
      <c r="AE60" s="112"/>
      <c r="AF60" s="111" t="s">
        <v>16</v>
      </c>
      <c r="AG60" s="112"/>
      <c r="AH60" s="111" t="s">
        <v>17</v>
      </c>
      <c r="AI60" s="112"/>
      <c r="AJ60" s="111" t="s">
        <v>18</v>
      </c>
      <c r="AK60" s="112"/>
      <c r="AL60" s="111" t="s">
        <v>293</v>
      </c>
      <c r="AM60" s="112"/>
      <c r="AN60" s="111" t="s">
        <v>19</v>
      </c>
      <c r="AO60" s="112"/>
      <c r="AP60" s="111" t="s">
        <v>20</v>
      </c>
      <c r="AQ60" s="112"/>
      <c r="AR60" s="111" t="s">
        <v>21</v>
      </c>
      <c r="AS60" s="112"/>
      <c r="AT60" s="111" t="s">
        <v>22</v>
      </c>
      <c r="AU60" s="112"/>
      <c r="AV60" s="111" t="s">
        <v>23</v>
      </c>
      <c r="AW60" s="112"/>
      <c r="AX60" s="111" t="s">
        <v>24</v>
      </c>
      <c r="AY60" s="112"/>
      <c r="AZ60" s="111" t="s">
        <v>25</v>
      </c>
      <c r="BA60" s="112"/>
      <c r="BB60" s="111" t="s">
        <v>26</v>
      </c>
      <c r="BC60" s="112"/>
      <c r="BD60" s="111" t="s">
        <v>27</v>
      </c>
      <c r="BE60" s="112"/>
      <c r="BF60" s="111" t="s">
        <v>28</v>
      </c>
      <c r="BG60" s="112"/>
      <c r="BH60" s="111" t="s">
        <v>29</v>
      </c>
      <c r="BI60" s="112"/>
      <c r="BJ60" s="111" t="s">
        <v>30</v>
      </c>
      <c r="BK60" s="112"/>
      <c r="BL60" s="115" t="s">
        <v>31</v>
      </c>
      <c r="BM60" s="116"/>
      <c r="BN60" s="111" t="s">
        <v>32</v>
      </c>
      <c r="BO60" s="112"/>
      <c r="BP60" s="113" t="s">
        <v>33</v>
      </c>
      <c r="BQ60" s="114"/>
    </row>
    <row r="61" spans="1:69" ht="30" x14ac:dyDescent="0.25">
      <c r="A61" s="3"/>
      <c r="B61" s="66" t="s">
        <v>298</v>
      </c>
      <c r="C61" s="67" t="s">
        <v>299</v>
      </c>
      <c r="D61" s="66" t="s">
        <v>298</v>
      </c>
      <c r="E61" s="67" t="s">
        <v>299</v>
      </c>
      <c r="F61" s="66" t="s">
        <v>298</v>
      </c>
      <c r="G61" s="67" t="s">
        <v>299</v>
      </c>
      <c r="H61" s="66" t="s">
        <v>298</v>
      </c>
      <c r="I61" s="67" t="s">
        <v>299</v>
      </c>
      <c r="J61" s="66" t="s">
        <v>298</v>
      </c>
      <c r="K61" s="67" t="s">
        <v>299</v>
      </c>
      <c r="L61" s="66" t="s">
        <v>298</v>
      </c>
      <c r="M61" s="67" t="s">
        <v>299</v>
      </c>
      <c r="N61" s="66" t="s">
        <v>298</v>
      </c>
      <c r="O61" s="67" t="s">
        <v>299</v>
      </c>
      <c r="P61" s="66" t="s">
        <v>298</v>
      </c>
      <c r="Q61" s="67" t="s">
        <v>299</v>
      </c>
      <c r="R61" s="66" t="s">
        <v>298</v>
      </c>
      <c r="S61" s="67" t="s">
        <v>299</v>
      </c>
      <c r="T61" s="66" t="s">
        <v>298</v>
      </c>
      <c r="U61" s="67" t="s">
        <v>299</v>
      </c>
      <c r="V61" s="66" t="s">
        <v>298</v>
      </c>
      <c r="W61" s="67" t="s">
        <v>299</v>
      </c>
      <c r="X61" s="66" t="s">
        <v>298</v>
      </c>
      <c r="Y61" s="67" t="s">
        <v>299</v>
      </c>
      <c r="Z61" s="66" t="s">
        <v>298</v>
      </c>
      <c r="AA61" s="67" t="s">
        <v>299</v>
      </c>
      <c r="AB61" s="66" t="s">
        <v>298</v>
      </c>
      <c r="AC61" s="67" t="s">
        <v>299</v>
      </c>
      <c r="AD61" s="66" t="s">
        <v>298</v>
      </c>
      <c r="AE61" s="67" t="s">
        <v>299</v>
      </c>
      <c r="AF61" s="66" t="s">
        <v>298</v>
      </c>
      <c r="AG61" s="67" t="s">
        <v>299</v>
      </c>
      <c r="AH61" s="66" t="s">
        <v>298</v>
      </c>
      <c r="AI61" s="67" t="s">
        <v>299</v>
      </c>
      <c r="AJ61" s="66" t="s">
        <v>298</v>
      </c>
      <c r="AK61" s="67" t="s">
        <v>299</v>
      </c>
      <c r="AL61" s="66" t="s">
        <v>298</v>
      </c>
      <c r="AM61" s="67" t="s">
        <v>299</v>
      </c>
      <c r="AN61" s="66" t="s">
        <v>298</v>
      </c>
      <c r="AO61" s="67" t="s">
        <v>299</v>
      </c>
      <c r="AP61" s="66" t="s">
        <v>298</v>
      </c>
      <c r="AQ61" s="67" t="s">
        <v>299</v>
      </c>
      <c r="AR61" s="66" t="s">
        <v>298</v>
      </c>
      <c r="AS61" s="67" t="s">
        <v>299</v>
      </c>
      <c r="AT61" s="66" t="s">
        <v>298</v>
      </c>
      <c r="AU61" s="67" t="s">
        <v>299</v>
      </c>
      <c r="AV61" s="66" t="s">
        <v>298</v>
      </c>
      <c r="AW61" s="67" t="s">
        <v>299</v>
      </c>
      <c r="AX61" s="66" t="s">
        <v>298</v>
      </c>
      <c r="AY61" s="67" t="s">
        <v>299</v>
      </c>
      <c r="AZ61" s="66" t="s">
        <v>298</v>
      </c>
      <c r="BA61" s="67" t="s">
        <v>299</v>
      </c>
      <c r="BB61" s="66" t="s">
        <v>298</v>
      </c>
      <c r="BC61" s="67" t="s">
        <v>299</v>
      </c>
      <c r="BD61" s="66" t="s">
        <v>298</v>
      </c>
      <c r="BE61" s="67" t="s">
        <v>299</v>
      </c>
      <c r="BF61" s="66" t="s">
        <v>298</v>
      </c>
      <c r="BG61" s="67" t="s">
        <v>299</v>
      </c>
      <c r="BH61" s="66" t="s">
        <v>298</v>
      </c>
      <c r="BI61" s="67" t="s">
        <v>299</v>
      </c>
      <c r="BJ61" s="66" t="s">
        <v>298</v>
      </c>
      <c r="BK61" s="67" t="s">
        <v>299</v>
      </c>
      <c r="BL61" s="66" t="s">
        <v>298</v>
      </c>
      <c r="BM61" s="67" t="s">
        <v>299</v>
      </c>
      <c r="BN61" s="66" t="s">
        <v>298</v>
      </c>
      <c r="BO61" s="67" t="s">
        <v>299</v>
      </c>
      <c r="BP61" s="66" t="s">
        <v>298</v>
      </c>
      <c r="BQ61" s="67" t="s">
        <v>299</v>
      </c>
    </row>
    <row r="62" spans="1:69" x14ac:dyDescent="0.25">
      <c r="A62" s="30" t="s">
        <v>237</v>
      </c>
      <c r="B62" s="10"/>
      <c r="C62" s="10"/>
      <c r="D62" s="10"/>
      <c r="E62" s="10"/>
      <c r="F62" s="10"/>
      <c r="G62" s="10"/>
      <c r="H62" s="10"/>
      <c r="I62" s="10"/>
      <c r="J62" s="10">
        <v>5309</v>
      </c>
      <c r="K62" s="10">
        <v>5669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>
        <v>606</v>
      </c>
      <c r="W62" s="10">
        <v>606</v>
      </c>
      <c r="X62" s="10"/>
      <c r="Y62" s="10"/>
      <c r="Z62" s="10">
        <v>1059</v>
      </c>
      <c r="AA62" s="10">
        <v>4602</v>
      </c>
      <c r="AB62" s="10">
        <v>3718</v>
      </c>
      <c r="AC62" s="10">
        <v>15482</v>
      </c>
      <c r="AD62" s="10">
        <v>16</v>
      </c>
      <c r="AE62" s="10">
        <v>71</v>
      </c>
      <c r="AF62" s="10"/>
      <c r="AG62" s="10"/>
      <c r="AH62" s="10"/>
      <c r="AI62" s="10"/>
      <c r="AJ62" s="11"/>
      <c r="AK62" s="10"/>
      <c r="AL62" s="10"/>
      <c r="AM62" s="10"/>
      <c r="AN62" s="10"/>
      <c r="AO62" s="10"/>
      <c r="AP62" s="155">
        <v>3953</v>
      </c>
      <c r="AQ62" s="155">
        <v>9248</v>
      </c>
      <c r="AR62" s="10">
        <v>4198</v>
      </c>
      <c r="AS62" s="10">
        <v>30161</v>
      </c>
      <c r="AT62" s="10">
        <v>3002</v>
      </c>
      <c r="AU62" s="10">
        <v>8239</v>
      </c>
      <c r="AV62" s="10"/>
      <c r="AW62" s="10"/>
      <c r="AX62" s="10">
        <v>936</v>
      </c>
      <c r="AY62" s="10">
        <v>6299</v>
      </c>
      <c r="AZ62" s="10"/>
      <c r="BA62" s="10"/>
      <c r="BB62" s="10"/>
      <c r="BC62" s="10"/>
      <c r="BD62" s="10">
        <v>54</v>
      </c>
      <c r="BE62" s="10">
        <v>159</v>
      </c>
      <c r="BF62" s="10"/>
      <c r="BG62" s="10"/>
      <c r="BH62" s="10"/>
      <c r="BI62" s="10"/>
      <c r="BJ62" s="10"/>
      <c r="BK62" s="10"/>
      <c r="BL62" s="10">
        <v>5001</v>
      </c>
      <c r="BM62" s="10">
        <v>13242</v>
      </c>
      <c r="BN62" s="10"/>
      <c r="BO62" s="10"/>
      <c r="BP62" s="82">
        <f t="shared" ref="BP62:BP65" si="14">B62+D62+F62+H62+J62+L62+N62+P62+R62+T62+V62+X62+Z62+AB62+AD62+AF62+AH62+AJ62+AL62+AN62+AP62+AR62+AT62+AV62+AX62+AZ62+BB62+BD62+BF62+BH62+BJ62+BL62+BN62</f>
        <v>27852</v>
      </c>
      <c r="BQ62" s="82">
        <f t="shared" ref="BQ62:BQ65" si="15">C62+E62+G62+I62+K62+M62+O62+Q62+S62+U62+W62+Y62+AA62+AC62+AE62+AG62+AI62+AK62+AM62+AO62+AQ62+AS62+AU62+AW62+AY62+BA62+BC62+BE62+BG62+BI62+BK62+BM62+BO62</f>
        <v>93778</v>
      </c>
    </row>
    <row r="63" spans="1:69" x14ac:dyDescent="0.25">
      <c r="A63" s="30" t="s">
        <v>288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>
        <v>1762</v>
      </c>
      <c r="AC63" s="10">
        <v>8132</v>
      </c>
      <c r="AD63" s="10"/>
      <c r="AE63" s="10"/>
      <c r="AF63" s="10"/>
      <c r="AG63" s="10"/>
      <c r="AH63" s="10"/>
      <c r="AI63" s="10"/>
      <c r="AJ63" s="11"/>
      <c r="AK63" s="10"/>
      <c r="AL63" s="10"/>
      <c r="AM63" s="10"/>
      <c r="AN63" s="10"/>
      <c r="AO63" s="10"/>
      <c r="AP63" s="155">
        <v>6102</v>
      </c>
      <c r="AQ63" s="155">
        <v>5691</v>
      </c>
      <c r="AR63" s="10">
        <v>33449</v>
      </c>
      <c r="AS63" s="10">
        <v>141881</v>
      </c>
      <c r="AT63" s="10">
        <v>52809</v>
      </c>
      <c r="AU63" s="10">
        <v>141907</v>
      </c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>
        <v>12852</v>
      </c>
      <c r="BM63" s="10">
        <v>57128</v>
      </c>
      <c r="BN63" s="10"/>
      <c r="BO63" s="10"/>
      <c r="BP63" s="82">
        <f t="shared" si="14"/>
        <v>106974</v>
      </c>
      <c r="BQ63" s="82">
        <f t="shared" si="15"/>
        <v>354739</v>
      </c>
    </row>
    <row r="64" spans="1:69" x14ac:dyDescent="0.25">
      <c r="A64" s="30" t="s">
        <v>289</v>
      </c>
      <c r="B64" s="10"/>
      <c r="C64" s="10"/>
      <c r="D64" s="10"/>
      <c r="E64" s="10"/>
      <c r="F64" s="10"/>
      <c r="G64" s="10"/>
      <c r="H64" s="10"/>
      <c r="I64" s="10"/>
      <c r="J64" s="10">
        <v>2219</v>
      </c>
      <c r="K64" s="10">
        <v>6338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>
        <v>175</v>
      </c>
      <c r="W64" s="10">
        <v>175</v>
      </c>
      <c r="X64" s="10"/>
      <c r="Y64" s="10"/>
      <c r="Z64" s="10">
        <v>-4160</v>
      </c>
      <c r="AA64" s="10">
        <v>-10024</v>
      </c>
      <c r="AB64" s="10">
        <v>1437</v>
      </c>
      <c r="AC64" s="10">
        <v>11064</v>
      </c>
      <c r="AD64" s="10">
        <v>6</v>
      </c>
      <c r="AE64" s="10">
        <v>3</v>
      </c>
      <c r="AF64" s="10"/>
      <c r="AG64" s="10"/>
      <c r="AH64" s="10"/>
      <c r="AI64" s="10"/>
      <c r="AJ64" s="11"/>
      <c r="AK64" s="10"/>
      <c r="AL64" s="10"/>
      <c r="AM64" s="10"/>
      <c r="AN64" s="10"/>
      <c r="AO64" s="10"/>
      <c r="AP64" s="155">
        <v>11816</v>
      </c>
      <c r="AQ64" s="155">
        <v>25421</v>
      </c>
      <c r="AR64" s="10">
        <v>25243</v>
      </c>
      <c r="AS64" s="10">
        <v>70952</v>
      </c>
      <c r="AT64" s="10">
        <v>12756</v>
      </c>
      <c r="AU64" s="10">
        <v>40758</v>
      </c>
      <c r="AV64" s="10"/>
      <c r="AW64" s="10"/>
      <c r="AX64" s="10">
        <v>1575</v>
      </c>
      <c r="AY64" s="10">
        <v>6508</v>
      </c>
      <c r="AZ64" s="10"/>
      <c r="BA64" s="10"/>
      <c r="BB64" s="10"/>
      <c r="BC64" s="10"/>
      <c r="BD64" s="10">
        <v>2</v>
      </c>
      <c r="BE64" s="10">
        <v>7</v>
      </c>
      <c r="BF64" s="10"/>
      <c r="BG64" s="10"/>
      <c r="BH64" s="10"/>
      <c r="BI64" s="10"/>
      <c r="BJ64" s="10"/>
      <c r="BK64" s="10"/>
      <c r="BL64" s="10">
        <v>14915</v>
      </c>
      <c r="BM64" s="10">
        <v>25653</v>
      </c>
      <c r="BN64" s="10"/>
      <c r="BO64" s="10"/>
      <c r="BP64" s="82">
        <f t="shared" si="14"/>
        <v>65984</v>
      </c>
      <c r="BQ64" s="82">
        <f t="shared" si="15"/>
        <v>176855</v>
      </c>
    </row>
    <row r="65" spans="1:69" x14ac:dyDescent="0.25">
      <c r="A65" s="30" t="s">
        <v>238</v>
      </c>
      <c r="B65" s="10"/>
      <c r="C65" s="10"/>
      <c r="D65" s="10"/>
      <c r="E65" s="10"/>
      <c r="F65" s="10"/>
      <c r="G65" s="10"/>
      <c r="H65" s="10"/>
      <c r="I65" s="10"/>
      <c r="J65" s="10">
        <v>3090</v>
      </c>
      <c r="K65" s="10">
        <v>-669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>
        <v>431</v>
      </c>
      <c r="W65" s="10">
        <v>431</v>
      </c>
      <c r="X65" s="10"/>
      <c r="Y65" s="10"/>
      <c r="Z65" s="10">
        <v>-3100</v>
      </c>
      <c r="AA65" s="10">
        <v>-5422</v>
      </c>
      <c r="AB65" s="10">
        <v>4043</v>
      </c>
      <c r="AC65" s="10">
        <v>12550</v>
      </c>
      <c r="AD65" s="10">
        <v>10</v>
      </c>
      <c r="AE65" s="10">
        <v>68</v>
      </c>
      <c r="AF65" s="10"/>
      <c r="AG65" s="10"/>
      <c r="AH65" s="10"/>
      <c r="AI65" s="10"/>
      <c r="AJ65" s="11"/>
      <c r="AK65" s="10"/>
      <c r="AL65" s="10"/>
      <c r="AM65" s="10"/>
      <c r="AN65" s="10"/>
      <c r="AO65" s="10"/>
      <c r="AP65" s="155">
        <v>-1761</v>
      </c>
      <c r="AQ65" s="155">
        <v>-10483</v>
      </c>
      <c r="AR65" s="10">
        <v>12404</v>
      </c>
      <c r="AS65" s="10">
        <v>101090</v>
      </c>
      <c r="AT65" s="10">
        <v>43055</v>
      </c>
      <c r="AU65" s="10">
        <v>109388</v>
      </c>
      <c r="AV65" s="10"/>
      <c r="AW65" s="10"/>
      <c r="AX65" s="10">
        <v>-639</v>
      </c>
      <c r="AY65" s="10">
        <v>-209</v>
      </c>
      <c r="AZ65" s="10"/>
      <c r="BA65" s="10"/>
      <c r="BB65" s="10"/>
      <c r="BC65" s="10"/>
      <c r="BD65" s="10">
        <v>52</v>
      </c>
      <c r="BE65" s="10">
        <v>152</v>
      </c>
      <c r="BF65" s="10"/>
      <c r="BG65" s="10"/>
      <c r="BH65" s="10"/>
      <c r="BI65" s="10"/>
      <c r="BJ65" s="10"/>
      <c r="BK65" s="10"/>
      <c r="BL65" s="10">
        <v>2938</v>
      </c>
      <c r="BM65" s="10">
        <v>44717</v>
      </c>
      <c r="BN65" s="10"/>
      <c r="BO65" s="10"/>
      <c r="BP65" s="82">
        <f t="shared" si="14"/>
        <v>60523</v>
      </c>
      <c r="BQ65" s="82">
        <f t="shared" si="15"/>
        <v>251613</v>
      </c>
    </row>
    <row r="66" spans="1:69" x14ac:dyDescent="0.25">
      <c r="A66" s="28"/>
    </row>
    <row r="67" spans="1:69" x14ac:dyDescent="0.25">
      <c r="A67" s="29" t="s">
        <v>296</v>
      </c>
    </row>
    <row r="68" spans="1:69" x14ac:dyDescent="0.25">
      <c r="A68" s="3" t="s">
        <v>0</v>
      </c>
      <c r="B68" s="111" t="s">
        <v>1</v>
      </c>
      <c r="C68" s="112"/>
      <c r="D68" s="111" t="s">
        <v>2</v>
      </c>
      <c r="E68" s="112"/>
      <c r="F68" s="111" t="s">
        <v>3</v>
      </c>
      <c r="G68" s="112"/>
      <c r="H68" s="111" t="s">
        <v>295</v>
      </c>
      <c r="I68" s="112"/>
      <c r="J68" s="111" t="s">
        <v>5</v>
      </c>
      <c r="K68" s="112"/>
      <c r="L68" s="111" t="s">
        <v>6</v>
      </c>
      <c r="M68" s="112"/>
      <c r="N68" s="111" t="s">
        <v>7</v>
      </c>
      <c r="O68" s="112"/>
      <c r="P68" s="111" t="s">
        <v>309</v>
      </c>
      <c r="Q68" s="112"/>
      <c r="R68" s="111" t="s">
        <v>9</v>
      </c>
      <c r="S68" s="112"/>
      <c r="T68" s="111" t="s">
        <v>10</v>
      </c>
      <c r="U68" s="112"/>
      <c r="V68" s="111" t="s">
        <v>11</v>
      </c>
      <c r="W68" s="112"/>
      <c r="X68" s="111" t="s">
        <v>12</v>
      </c>
      <c r="Y68" s="112"/>
      <c r="Z68" s="111" t="s">
        <v>13</v>
      </c>
      <c r="AA68" s="112"/>
      <c r="AB68" s="111" t="s">
        <v>14</v>
      </c>
      <c r="AC68" s="112"/>
      <c r="AD68" s="111" t="s">
        <v>15</v>
      </c>
      <c r="AE68" s="112"/>
      <c r="AF68" s="111" t="s">
        <v>16</v>
      </c>
      <c r="AG68" s="112"/>
      <c r="AH68" s="111" t="s">
        <v>17</v>
      </c>
      <c r="AI68" s="112"/>
      <c r="AJ68" s="111" t="s">
        <v>18</v>
      </c>
      <c r="AK68" s="112"/>
      <c r="AL68" s="111" t="s">
        <v>293</v>
      </c>
      <c r="AM68" s="112"/>
      <c r="AN68" s="111" t="s">
        <v>19</v>
      </c>
      <c r="AO68" s="112"/>
      <c r="AP68" s="111" t="s">
        <v>20</v>
      </c>
      <c r="AQ68" s="112"/>
      <c r="AR68" s="111" t="s">
        <v>21</v>
      </c>
      <c r="AS68" s="112"/>
      <c r="AT68" s="111" t="s">
        <v>22</v>
      </c>
      <c r="AU68" s="112"/>
      <c r="AV68" s="111" t="s">
        <v>23</v>
      </c>
      <c r="AW68" s="112"/>
      <c r="AX68" s="111" t="s">
        <v>24</v>
      </c>
      <c r="AY68" s="112"/>
      <c r="AZ68" s="111" t="s">
        <v>25</v>
      </c>
      <c r="BA68" s="112"/>
      <c r="BB68" s="111" t="s">
        <v>26</v>
      </c>
      <c r="BC68" s="112"/>
      <c r="BD68" s="111" t="s">
        <v>27</v>
      </c>
      <c r="BE68" s="112"/>
      <c r="BF68" s="111" t="s">
        <v>28</v>
      </c>
      <c r="BG68" s="112"/>
      <c r="BH68" s="111" t="s">
        <v>29</v>
      </c>
      <c r="BI68" s="112"/>
      <c r="BJ68" s="111" t="s">
        <v>30</v>
      </c>
      <c r="BK68" s="112"/>
      <c r="BL68" s="115" t="s">
        <v>31</v>
      </c>
      <c r="BM68" s="116"/>
      <c r="BN68" s="111" t="s">
        <v>32</v>
      </c>
      <c r="BO68" s="112"/>
      <c r="BP68" s="113" t="s">
        <v>33</v>
      </c>
      <c r="BQ68" s="114"/>
    </row>
    <row r="69" spans="1:69" ht="30" x14ac:dyDescent="0.25">
      <c r="A69" s="3"/>
      <c r="B69" s="66" t="s">
        <v>298</v>
      </c>
      <c r="C69" s="67" t="s">
        <v>299</v>
      </c>
      <c r="D69" s="66" t="s">
        <v>298</v>
      </c>
      <c r="E69" s="67" t="s">
        <v>299</v>
      </c>
      <c r="F69" s="66" t="s">
        <v>298</v>
      </c>
      <c r="G69" s="67" t="s">
        <v>299</v>
      </c>
      <c r="H69" s="66" t="s">
        <v>298</v>
      </c>
      <c r="I69" s="67" t="s">
        <v>299</v>
      </c>
      <c r="J69" s="66" t="s">
        <v>298</v>
      </c>
      <c r="K69" s="67" t="s">
        <v>299</v>
      </c>
      <c r="L69" s="66" t="s">
        <v>298</v>
      </c>
      <c r="M69" s="67" t="s">
        <v>299</v>
      </c>
      <c r="N69" s="66" t="s">
        <v>298</v>
      </c>
      <c r="O69" s="67" t="s">
        <v>299</v>
      </c>
      <c r="P69" s="66" t="s">
        <v>298</v>
      </c>
      <c r="Q69" s="67" t="s">
        <v>299</v>
      </c>
      <c r="R69" s="66" t="s">
        <v>298</v>
      </c>
      <c r="S69" s="67" t="s">
        <v>299</v>
      </c>
      <c r="T69" s="66" t="s">
        <v>298</v>
      </c>
      <c r="U69" s="67" t="s">
        <v>299</v>
      </c>
      <c r="V69" s="66" t="s">
        <v>298</v>
      </c>
      <c r="W69" s="67" t="s">
        <v>299</v>
      </c>
      <c r="X69" s="66" t="s">
        <v>298</v>
      </c>
      <c r="Y69" s="67" t="s">
        <v>299</v>
      </c>
      <c r="Z69" s="66" t="s">
        <v>298</v>
      </c>
      <c r="AA69" s="67" t="s">
        <v>299</v>
      </c>
      <c r="AB69" s="66" t="s">
        <v>298</v>
      </c>
      <c r="AC69" s="67" t="s">
        <v>299</v>
      </c>
      <c r="AD69" s="66" t="s">
        <v>298</v>
      </c>
      <c r="AE69" s="67" t="s">
        <v>299</v>
      </c>
      <c r="AF69" s="66" t="s">
        <v>298</v>
      </c>
      <c r="AG69" s="67" t="s">
        <v>299</v>
      </c>
      <c r="AH69" s="66" t="s">
        <v>298</v>
      </c>
      <c r="AI69" s="67" t="s">
        <v>299</v>
      </c>
      <c r="AJ69" s="66" t="s">
        <v>298</v>
      </c>
      <c r="AK69" s="67" t="s">
        <v>299</v>
      </c>
      <c r="AL69" s="66" t="s">
        <v>298</v>
      </c>
      <c r="AM69" s="67" t="s">
        <v>299</v>
      </c>
      <c r="AN69" s="66" t="s">
        <v>298</v>
      </c>
      <c r="AO69" s="67" t="s">
        <v>299</v>
      </c>
      <c r="AP69" s="66" t="s">
        <v>298</v>
      </c>
      <c r="AQ69" s="67" t="s">
        <v>299</v>
      </c>
      <c r="AR69" s="66" t="s">
        <v>298</v>
      </c>
      <c r="AS69" s="67" t="s">
        <v>299</v>
      </c>
      <c r="AT69" s="66" t="s">
        <v>298</v>
      </c>
      <c r="AU69" s="67" t="s">
        <v>299</v>
      </c>
      <c r="AV69" s="66" t="s">
        <v>298</v>
      </c>
      <c r="AW69" s="67" t="s">
        <v>299</v>
      </c>
      <c r="AX69" s="66" t="s">
        <v>298</v>
      </c>
      <c r="AY69" s="67" t="s">
        <v>299</v>
      </c>
      <c r="AZ69" s="66" t="s">
        <v>298</v>
      </c>
      <c r="BA69" s="67" t="s">
        <v>299</v>
      </c>
      <c r="BB69" s="66" t="s">
        <v>298</v>
      </c>
      <c r="BC69" s="67" t="s">
        <v>299</v>
      </c>
      <c r="BD69" s="66" t="s">
        <v>298</v>
      </c>
      <c r="BE69" s="67" t="s">
        <v>299</v>
      </c>
      <c r="BF69" s="66" t="s">
        <v>298</v>
      </c>
      <c r="BG69" s="67" t="s">
        <v>299</v>
      </c>
      <c r="BH69" s="66" t="s">
        <v>298</v>
      </c>
      <c r="BI69" s="67" t="s">
        <v>299</v>
      </c>
      <c r="BJ69" s="66" t="s">
        <v>298</v>
      </c>
      <c r="BK69" s="67" t="s">
        <v>299</v>
      </c>
      <c r="BL69" s="66" t="s">
        <v>298</v>
      </c>
      <c r="BM69" s="67" t="s">
        <v>299</v>
      </c>
      <c r="BN69" s="66" t="s">
        <v>298</v>
      </c>
      <c r="BO69" s="67" t="s">
        <v>299</v>
      </c>
      <c r="BP69" s="66" t="s">
        <v>298</v>
      </c>
      <c r="BQ69" s="67" t="s">
        <v>299</v>
      </c>
    </row>
    <row r="70" spans="1:69" x14ac:dyDescent="0.25">
      <c r="A70" s="30" t="s">
        <v>237</v>
      </c>
      <c r="B70" s="10"/>
      <c r="C70" s="10"/>
      <c r="D70" s="10"/>
      <c r="E70" s="10"/>
      <c r="F70" s="10"/>
      <c r="G70" s="10"/>
      <c r="H70" s="10"/>
      <c r="I70" s="10"/>
      <c r="J70" s="10">
        <v>1022</v>
      </c>
      <c r="K70" s="7">
        <v>1062</v>
      </c>
      <c r="L70" s="10"/>
      <c r="M70" s="10"/>
      <c r="N70" s="10">
        <v>-2641</v>
      </c>
      <c r="O70" s="10">
        <v>676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>
        <v>4323</v>
      </c>
      <c r="AA70" s="10">
        <v>37427</v>
      </c>
      <c r="AB70" s="10">
        <v>6</v>
      </c>
      <c r="AC70" s="10">
        <v>-1793</v>
      </c>
      <c r="AD70" s="10"/>
      <c r="AE70" s="10"/>
      <c r="AF70" s="10"/>
      <c r="AG70" s="10"/>
      <c r="AH70" s="10"/>
      <c r="AI70" s="10"/>
      <c r="AJ70" s="11"/>
      <c r="AK70" s="10"/>
      <c r="AL70" s="10"/>
      <c r="AM70" s="10"/>
      <c r="AN70" s="10"/>
      <c r="AO70" s="10"/>
      <c r="AP70" s="155">
        <v>53105</v>
      </c>
      <c r="AQ70" s="155">
        <v>84122</v>
      </c>
      <c r="AR70" s="10">
        <v>124107</v>
      </c>
      <c r="AS70" s="10">
        <v>187551</v>
      </c>
      <c r="AT70" s="10"/>
      <c r="AU70" s="10"/>
      <c r="AV70" s="10"/>
      <c r="AW70" s="10"/>
      <c r="AX70" s="10"/>
      <c r="AY70" s="10">
        <v>9</v>
      </c>
      <c r="AZ70" s="10"/>
      <c r="BA70" s="10"/>
      <c r="BB70" s="10"/>
      <c r="BC70" s="10"/>
      <c r="BD70" s="10"/>
      <c r="BE70" s="10">
        <v>-1675</v>
      </c>
      <c r="BF70" s="10"/>
      <c r="BG70" s="10"/>
      <c r="BH70" s="10"/>
      <c r="BI70" s="10"/>
      <c r="BJ70" s="10"/>
      <c r="BK70" s="10"/>
      <c r="BL70" s="10">
        <v>-247008</v>
      </c>
      <c r="BM70" s="10">
        <v>30710</v>
      </c>
      <c r="BN70" s="10"/>
      <c r="BO70" s="10"/>
      <c r="BP70" s="82">
        <f t="shared" ref="BP70:BP73" si="16">B70+D70+F70+H70+J70+L70+N70+P70+R70+T70+V70+X70+Z70+AB70+AD70+AF70+AH70+AJ70+AL70+AN70+AP70+AR70+AT70+AV70+AX70+AZ70+BB70+BD70+BF70+BH70+BJ70+BL70+BN70</f>
        <v>-67086</v>
      </c>
      <c r="BQ70" s="82">
        <f t="shared" ref="BQ70:BQ73" si="17">C70+E70+G70+I70+K70+M70+O70+Q70+S70+U70+W70+Y70+AA70+AC70+AE70+AG70+AI70+AK70+AM70+AO70+AQ70+AS70+AU70+AW70+AY70+BA70+BC70+BE70+BG70+BI70+BK70+BM70+BO70</f>
        <v>338089</v>
      </c>
    </row>
    <row r="71" spans="1:69" x14ac:dyDescent="0.25">
      <c r="A71" s="30" t="s">
        <v>288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>
        <v>26731</v>
      </c>
      <c r="Y71" s="10">
        <v>27186</v>
      </c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10"/>
      <c r="AL71" s="10"/>
      <c r="AM71" s="10"/>
      <c r="AN71" s="10"/>
      <c r="AO71" s="10"/>
      <c r="AP71" s="155"/>
      <c r="AQ71" s="155"/>
      <c r="AR71" s="10">
        <v>0</v>
      </c>
      <c r="AS71" s="10">
        <v>25268</v>
      </c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>
        <v>0</v>
      </c>
      <c r="BM71" s="10">
        <v>0</v>
      </c>
      <c r="BN71" s="10"/>
      <c r="BO71" s="10"/>
      <c r="BP71" s="82">
        <f t="shared" si="16"/>
        <v>26731</v>
      </c>
      <c r="BQ71" s="82">
        <f t="shared" si="17"/>
        <v>52454</v>
      </c>
    </row>
    <row r="72" spans="1:69" x14ac:dyDescent="0.25">
      <c r="A72" s="30" t="s">
        <v>289</v>
      </c>
      <c r="B72" s="10"/>
      <c r="C72" s="10"/>
      <c r="D72" s="10"/>
      <c r="E72" s="10"/>
      <c r="F72" s="10"/>
      <c r="G72" s="10"/>
      <c r="H72" s="10"/>
      <c r="I72" s="10"/>
      <c r="J72" s="10">
        <v>90807</v>
      </c>
      <c r="K72" s="10">
        <v>977486</v>
      </c>
      <c r="L72" s="10">
        <v>64107</v>
      </c>
      <c r="M72" s="10">
        <v>320999</v>
      </c>
      <c r="N72" s="10">
        <v>-15509</v>
      </c>
      <c r="O72" s="10">
        <v>-21067</v>
      </c>
      <c r="P72" s="10"/>
      <c r="Q72" s="10"/>
      <c r="R72" s="10"/>
      <c r="S72" s="10"/>
      <c r="T72" s="10"/>
      <c r="U72" s="10"/>
      <c r="V72" s="10">
        <v>80684</v>
      </c>
      <c r="W72" s="10">
        <v>268337</v>
      </c>
      <c r="X72" s="10">
        <v>6755</v>
      </c>
      <c r="Y72" s="10">
        <v>23964</v>
      </c>
      <c r="Z72" s="10">
        <v>-262231</v>
      </c>
      <c r="AA72" s="10">
        <v>-1128813</v>
      </c>
      <c r="AB72" s="10">
        <v>-15622</v>
      </c>
      <c r="AC72" s="10">
        <v>-25906</v>
      </c>
      <c r="AD72" s="10">
        <v>47199</v>
      </c>
      <c r="AE72" s="10">
        <v>516535</v>
      </c>
      <c r="AF72" s="10"/>
      <c r="AG72" s="10"/>
      <c r="AH72" s="10"/>
      <c r="AI72" s="10"/>
      <c r="AJ72" s="11"/>
      <c r="AK72" s="10"/>
      <c r="AL72" s="10"/>
      <c r="AM72" s="10"/>
      <c r="AN72" s="10"/>
      <c r="AO72" s="10"/>
      <c r="AP72" s="155">
        <v>228193</v>
      </c>
      <c r="AQ72" s="155">
        <v>532777</v>
      </c>
      <c r="AR72" s="10">
        <v>147077</v>
      </c>
      <c r="AS72" s="10">
        <v>520696</v>
      </c>
      <c r="AT72" s="10"/>
      <c r="AU72" s="10"/>
      <c r="AV72" s="10"/>
      <c r="AW72" s="10"/>
      <c r="AX72" s="10">
        <v>140871</v>
      </c>
      <c r="AY72" s="10">
        <v>1083855</v>
      </c>
      <c r="AZ72" s="10"/>
      <c r="BA72" s="10"/>
      <c r="BB72" s="10">
        <v>-46780</v>
      </c>
      <c r="BC72" s="10">
        <v>-236530</v>
      </c>
      <c r="BD72" s="10">
        <v>74700</v>
      </c>
      <c r="BE72" s="10">
        <v>1000796</v>
      </c>
      <c r="BF72" s="10"/>
      <c r="BG72" s="10"/>
      <c r="BH72" s="10"/>
      <c r="BI72" s="10"/>
      <c r="BJ72" s="10"/>
      <c r="BK72" s="10"/>
      <c r="BL72" s="10">
        <v>152296</v>
      </c>
      <c r="BM72" s="10">
        <v>760411</v>
      </c>
      <c r="BN72" s="10">
        <v>238431</v>
      </c>
      <c r="BO72" s="10">
        <v>565027</v>
      </c>
      <c r="BP72" s="82">
        <f t="shared" si="16"/>
        <v>930978</v>
      </c>
      <c r="BQ72" s="82">
        <f t="shared" si="17"/>
        <v>5158567</v>
      </c>
    </row>
    <row r="73" spans="1:69" x14ac:dyDescent="0.25">
      <c r="A73" s="30" t="s">
        <v>238</v>
      </c>
      <c r="B73" s="10"/>
      <c r="C73" s="10"/>
      <c r="D73" s="10"/>
      <c r="E73" s="10"/>
      <c r="F73" s="10"/>
      <c r="G73" s="10"/>
      <c r="H73" s="10"/>
      <c r="I73" s="10"/>
      <c r="J73" s="10">
        <v>-89785</v>
      </c>
      <c r="K73" s="10">
        <v>-976424</v>
      </c>
      <c r="L73" s="10">
        <v>-64107</v>
      </c>
      <c r="M73" s="10">
        <v>-320999</v>
      </c>
      <c r="N73" s="10">
        <v>12868</v>
      </c>
      <c r="O73" s="10">
        <v>21743</v>
      </c>
      <c r="P73" s="10"/>
      <c r="Q73" s="10"/>
      <c r="R73" s="10"/>
      <c r="S73" s="10"/>
      <c r="T73" s="10"/>
      <c r="U73" s="10"/>
      <c r="V73" s="10">
        <v>-80684</v>
      </c>
      <c r="W73" s="10">
        <v>-268312</v>
      </c>
      <c r="X73" s="10">
        <v>19975</v>
      </c>
      <c r="Y73" s="10">
        <v>3222</v>
      </c>
      <c r="Z73" s="10">
        <v>-257908</v>
      </c>
      <c r="AA73" s="10">
        <v>-1091386</v>
      </c>
      <c r="AB73" s="10">
        <v>15628</v>
      </c>
      <c r="AC73" s="10">
        <v>24113</v>
      </c>
      <c r="AD73" s="10">
        <v>-47199</v>
      </c>
      <c r="AE73" s="10">
        <v>-516535</v>
      </c>
      <c r="AF73" s="10"/>
      <c r="AG73" s="10"/>
      <c r="AH73" s="10"/>
      <c r="AI73" s="10"/>
      <c r="AJ73" s="11"/>
      <c r="AK73" s="10"/>
      <c r="AL73" s="10"/>
      <c r="AM73" s="10"/>
      <c r="AN73" s="10"/>
      <c r="AO73" s="10"/>
      <c r="AP73" s="155">
        <v>-175088</v>
      </c>
      <c r="AQ73" s="155">
        <v>-448655</v>
      </c>
      <c r="AR73" s="10">
        <v>-22970</v>
      </c>
      <c r="AS73" s="10">
        <v>-307876</v>
      </c>
      <c r="AT73" s="10"/>
      <c r="AU73" s="10"/>
      <c r="AV73" s="10"/>
      <c r="AW73" s="10"/>
      <c r="AX73" s="10">
        <v>-140871</v>
      </c>
      <c r="AY73" s="10">
        <v>-1083846</v>
      </c>
      <c r="AZ73" s="10"/>
      <c r="BA73" s="10"/>
      <c r="BB73" s="10">
        <v>-46780</v>
      </c>
      <c r="BC73" s="10">
        <v>-236530</v>
      </c>
      <c r="BD73" s="10">
        <v>-74700</v>
      </c>
      <c r="BE73" s="10">
        <v>-1002471</v>
      </c>
      <c r="BF73" s="10"/>
      <c r="BG73" s="10"/>
      <c r="BH73" s="10"/>
      <c r="BI73" s="10"/>
      <c r="BJ73" s="10"/>
      <c r="BK73" s="10"/>
      <c r="BL73" s="10">
        <v>-399304</v>
      </c>
      <c r="BM73" s="10">
        <v>-729701</v>
      </c>
      <c r="BN73" s="10">
        <v>-238431</v>
      </c>
      <c r="BO73" s="10">
        <v>-565027</v>
      </c>
      <c r="BP73" s="82">
        <f t="shared" si="16"/>
        <v>-1589356</v>
      </c>
      <c r="BQ73" s="82">
        <f t="shared" si="17"/>
        <v>-7498684</v>
      </c>
    </row>
    <row r="74" spans="1:69" x14ac:dyDescent="0.25">
      <c r="A74" s="28"/>
    </row>
    <row r="75" spans="1:69" x14ac:dyDescent="0.25">
      <c r="A75" s="29" t="s">
        <v>236</v>
      </c>
    </row>
    <row r="76" spans="1:69" x14ac:dyDescent="0.25">
      <c r="A76" s="3" t="s">
        <v>0</v>
      </c>
      <c r="B76" s="111" t="s">
        <v>1</v>
      </c>
      <c r="C76" s="112"/>
      <c r="D76" s="111" t="s">
        <v>2</v>
      </c>
      <c r="E76" s="112"/>
      <c r="F76" s="111" t="s">
        <v>3</v>
      </c>
      <c r="G76" s="112"/>
      <c r="H76" s="111" t="s">
        <v>295</v>
      </c>
      <c r="I76" s="112"/>
      <c r="J76" s="111" t="s">
        <v>5</v>
      </c>
      <c r="K76" s="112"/>
      <c r="L76" s="111" t="s">
        <v>6</v>
      </c>
      <c r="M76" s="112"/>
      <c r="N76" s="111" t="s">
        <v>7</v>
      </c>
      <c r="O76" s="112"/>
      <c r="P76" s="111" t="s">
        <v>309</v>
      </c>
      <c r="Q76" s="112"/>
      <c r="R76" s="111" t="s">
        <v>9</v>
      </c>
      <c r="S76" s="112"/>
      <c r="T76" s="111" t="s">
        <v>10</v>
      </c>
      <c r="U76" s="112"/>
      <c r="V76" s="111" t="s">
        <v>11</v>
      </c>
      <c r="W76" s="112"/>
      <c r="X76" s="111" t="s">
        <v>12</v>
      </c>
      <c r="Y76" s="112"/>
      <c r="Z76" s="111" t="s">
        <v>13</v>
      </c>
      <c r="AA76" s="112"/>
      <c r="AB76" s="111" t="s">
        <v>14</v>
      </c>
      <c r="AC76" s="112"/>
      <c r="AD76" s="111" t="s">
        <v>15</v>
      </c>
      <c r="AE76" s="112"/>
      <c r="AF76" s="111" t="s">
        <v>16</v>
      </c>
      <c r="AG76" s="112"/>
      <c r="AH76" s="111" t="s">
        <v>17</v>
      </c>
      <c r="AI76" s="112"/>
      <c r="AJ76" s="111" t="s">
        <v>18</v>
      </c>
      <c r="AK76" s="112"/>
      <c r="AL76" s="111" t="s">
        <v>293</v>
      </c>
      <c r="AM76" s="112"/>
      <c r="AN76" s="111" t="s">
        <v>19</v>
      </c>
      <c r="AO76" s="112"/>
      <c r="AP76" s="111" t="s">
        <v>20</v>
      </c>
      <c r="AQ76" s="112"/>
      <c r="AR76" s="111" t="s">
        <v>21</v>
      </c>
      <c r="AS76" s="112"/>
      <c r="AT76" s="111" t="s">
        <v>22</v>
      </c>
      <c r="AU76" s="112"/>
      <c r="AV76" s="111" t="s">
        <v>23</v>
      </c>
      <c r="AW76" s="112"/>
      <c r="AX76" s="111" t="s">
        <v>24</v>
      </c>
      <c r="AY76" s="112"/>
      <c r="AZ76" s="111" t="s">
        <v>25</v>
      </c>
      <c r="BA76" s="112"/>
      <c r="BB76" s="111" t="s">
        <v>26</v>
      </c>
      <c r="BC76" s="112"/>
      <c r="BD76" s="111" t="s">
        <v>27</v>
      </c>
      <c r="BE76" s="112"/>
      <c r="BF76" s="111" t="s">
        <v>28</v>
      </c>
      <c r="BG76" s="112"/>
      <c r="BH76" s="111" t="s">
        <v>29</v>
      </c>
      <c r="BI76" s="112"/>
      <c r="BJ76" s="111" t="s">
        <v>30</v>
      </c>
      <c r="BK76" s="112"/>
      <c r="BL76" s="115" t="s">
        <v>31</v>
      </c>
      <c r="BM76" s="116"/>
      <c r="BN76" s="111" t="s">
        <v>32</v>
      </c>
      <c r="BO76" s="112"/>
      <c r="BP76" s="113" t="s">
        <v>33</v>
      </c>
      <c r="BQ76" s="114"/>
    </row>
    <row r="77" spans="1:69" ht="30" x14ac:dyDescent="0.25">
      <c r="A77" s="3"/>
      <c r="B77" s="66" t="s">
        <v>298</v>
      </c>
      <c r="C77" s="67" t="s">
        <v>299</v>
      </c>
      <c r="D77" s="66" t="s">
        <v>298</v>
      </c>
      <c r="E77" s="67" t="s">
        <v>299</v>
      </c>
      <c r="F77" s="66" t="s">
        <v>298</v>
      </c>
      <c r="G77" s="67" t="s">
        <v>299</v>
      </c>
      <c r="H77" s="66" t="s">
        <v>298</v>
      </c>
      <c r="I77" s="67" t="s">
        <v>299</v>
      </c>
      <c r="J77" s="66" t="s">
        <v>298</v>
      </c>
      <c r="K77" s="67" t="s">
        <v>299</v>
      </c>
      <c r="L77" s="66" t="s">
        <v>298</v>
      </c>
      <c r="M77" s="67" t="s">
        <v>299</v>
      </c>
      <c r="N77" s="66" t="s">
        <v>298</v>
      </c>
      <c r="O77" s="67" t="s">
        <v>299</v>
      </c>
      <c r="P77" s="66" t="s">
        <v>298</v>
      </c>
      <c r="Q77" s="67" t="s">
        <v>299</v>
      </c>
      <c r="R77" s="66" t="s">
        <v>298</v>
      </c>
      <c r="S77" s="67" t="s">
        <v>299</v>
      </c>
      <c r="T77" s="66" t="s">
        <v>298</v>
      </c>
      <c r="U77" s="67" t="s">
        <v>299</v>
      </c>
      <c r="V77" s="66" t="s">
        <v>298</v>
      </c>
      <c r="W77" s="67" t="s">
        <v>299</v>
      </c>
      <c r="X77" s="66" t="s">
        <v>298</v>
      </c>
      <c r="Y77" s="67" t="s">
        <v>299</v>
      </c>
      <c r="Z77" s="66" t="s">
        <v>298</v>
      </c>
      <c r="AA77" s="67" t="s">
        <v>299</v>
      </c>
      <c r="AB77" s="66" t="s">
        <v>298</v>
      </c>
      <c r="AC77" s="67" t="s">
        <v>299</v>
      </c>
      <c r="AD77" s="66" t="s">
        <v>298</v>
      </c>
      <c r="AE77" s="67" t="s">
        <v>299</v>
      </c>
      <c r="AF77" s="66" t="s">
        <v>298</v>
      </c>
      <c r="AG77" s="67" t="s">
        <v>299</v>
      </c>
      <c r="AH77" s="66" t="s">
        <v>298</v>
      </c>
      <c r="AI77" s="67" t="s">
        <v>299</v>
      </c>
      <c r="AJ77" s="66" t="s">
        <v>298</v>
      </c>
      <c r="AK77" s="67" t="s">
        <v>299</v>
      </c>
      <c r="AL77" s="66" t="s">
        <v>298</v>
      </c>
      <c r="AM77" s="67" t="s">
        <v>299</v>
      </c>
      <c r="AN77" s="66" t="s">
        <v>298</v>
      </c>
      <c r="AO77" s="67" t="s">
        <v>299</v>
      </c>
      <c r="AP77" s="66" t="s">
        <v>298</v>
      </c>
      <c r="AQ77" s="67" t="s">
        <v>299</v>
      </c>
      <c r="AR77" s="66" t="s">
        <v>298</v>
      </c>
      <c r="AS77" s="67" t="s">
        <v>299</v>
      </c>
      <c r="AT77" s="66" t="s">
        <v>298</v>
      </c>
      <c r="AU77" s="67" t="s">
        <v>299</v>
      </c>
      <c r="AV77" s="66" t="s">
        <v>298</v>
      </c>
      <c r="AW77" s="67" t="s">
        <v>299</v>
      </c>
      <c r="AX77" s="66" t="s">
        <v>298</v>
      </c>
      <c r="AY77" s="67" t="s">
        <v>299</v>
      </c>
      <c r="AZ77" s="66" t="s">
        <v>298</v>
      </c>
      <c r="BA77" s="67" t="s">
        <v>299</v>
      </c>
      <c r="BB77" s="66" t="s">
        <v>298</v>
      </c>
      <c r="BC77" s="67" t="s">
        <v>299</v>
      </c>
      <c r="BD77" s="66" t="s">
        <v>298</v>
      </c>
      <c r="BE77" s="67" t="s">
        <v>299</v>
      </c>
      <c r="BF77" s="66" t="s">
        <v>298</v>
      </c>
      <c r="BG77" s="67" t="s">
        <v>299</v>
      </c>
      <c r="BH77" s="66" t="s">
        <v>298</v>
      </c>
      <c r="BI77" s="67" t="s">
        <v>299</v>
      </c>
      <c r="BJ77" s="66" t="s">
        <v>298</v>
      </c>
      <c r="BK77" s="67" t="s">
        <v>299</v>
      </c>
      <c r="BL77" s="66" t="s">
        <v>298</v>
      </c>
      <c r="BM77" s="67" t="s">
        <v>299</v>
      </c>
      <c r="BN77" s="66" t="s">
        <v>298</v>
      </c>
      <c r="BO77" s="67" t="s">
        <v>299</v>
      </c>
      <c r="BP77" s="66" t="s">
        <v>298</v>
      </c>
      <c r="BQ77" s="67" t="s">
        <v>299</v>
      </c>
    </row>
    <row r="78" spans="1:69" x14ac:dyDescent="0.25">
      <c r="A78" s="30" t="s">
        <v>237</v>
      </c>
      <c r="B78" s="10">
        <f>B86-B62-B54-B46-B38-B30-B22-B14-B6-B70</f>
        <v>0</v>
      </c>
      <c r="C78" s="10">
        <f t="shared" ref="C78:BL78" si="18">C86-C62-C54-C46-C38-C30-C22-C14-C6-C70</f>
        <v>0</v>
      </c>
      <c r="D78" s="10">
        <f t="shared" si="18"/>
        <v>0</v>
      </c>
      <c r="E78" s="10">
        <f t="shared" si="18"/>
        <v>0</v>
      </c>
      <c r="F78" s="10">
        <f t="shared" si="18"/>
        <v>97051</v>
      </c>
      <c r="G78" s="10">
        <f t="shared" si="18"/>
        <v>318396</v>
      </c>
      <c r="H78" s="10">
        <f t="shared" si="18"/>
        <v>1956</v>
      </c>
      <c r="I78" s="10">
        <f t="shared" si="18"/>
        <v>23424</v>
      </c>
      <c r="J78" s="10">
        <f t="shared" si="18"/>
        <v>253966</v>
      </c>
      <c r="K78" s="10">
        <f t="shared" si="18"/>
        <v>1157923</v>
      </c>
      <c r="L78" s="10">
        <f t="shared" si="18"/>
        <v>8731</v>
      </c>
      <c r="M78" s="10">
        <f t="shared" si="18"/>
        <v>34815</v>
      </c>
      <c r="N78" s="10">
        <f t="shared" si="18"/>
        <v>-7524</v>
      </c>
      <c r="O78" s="10">
        <f t="shared" si="18"/>
        <v>46622</v>
      </c>
      <c r="P78" s="10">
        <f t="shared" si="18"/>
        <v>-38</v>
      </c>
      <c r="Q78" s="10">
        <f t="shared" si="18"/>
        <v>100</v>
      </c>
      <c r="R78" s="10">
        <f t="shared" si="18"/>
        <v>15</v>
      </c>
      <c r="S78" s="10">
        <f t="shared" si="18"/>
        <v>91</v>
      </c>
      <c r="T78" s="10">
        <f t="shared" si="18"/>
        <v>50537.13</v>
      </c>
      <c r="U78" s="10">
        <f t="shared" si="18"/>
        <v>93909.98</v>
      </c>
      <c r="V78" s="10">
        <f t="shared" si="18"/>
        <v>71245</v>
      </c>
      <c r="W78" s="10">
        <f t="shared" si="18"/>
        <v>159337</v>
      </c>
      <c r="X78" s="10">
        <f t="shared" si="18"/>
        <v>983</v>
      </c>
      <c r="Y78" s="10">
        <f t="shared" si="18"/>
        <v>1924</v>
      </c>
      <c r="Z78" s="10">
        <f t="shared" si="18"/>
        <v>98432</v>
      </c>
      <c r="AA78" s="10">
        <f t="shared" si="18"/>
        <v>383589</v>
      </c>
      <c r="AB78" s="10">
        <f t="shared" si="18"/>
        <v>156271</v>
      </c>
      <c r="AC78" s="10">
        <f t="shared" si="18"/>
        <v>597602</v>
      </c>
      <c r="AD78" s="10">
        <f t="shared" si="18"/>
        <v>97697</v>
      </c>
      <c r="AE78" s="10">
        <f t="shared" si="18"/>
        <v>396931</v>
      </c>
      <c r="AF78" s="10">
        <f t="shared" si="18"/>
        <v>5024</v>
      </c>
      <c r="AG78" s="10">
        <f t="shared" si="18"/>
        <v>20437</v>
      </c>
      <c r="AH78" s="10">
        <f t="shared" si="18"/>
        <v>21442</v>
      </c>
      <c r="AI78" s="10">
        <f t="shared" si="18"/>
        <v>96973</v>
      </c>
      <c r="AJ78" s="10">
        <f t="shared" si="18"/>
        <v>13763</v>
      </c>
      <c r="AK78" s="10">
        <f t="shared" si="18"/>
        <v>20257</v>
      </c>
      <c r="AL78" s="10">
        <f t="shared" si="18"/>
        <v>0</v>
      </c>
      <c r="AM78" s="10">
        <f t="shared" si="18"/>
        <v>1</v>
      </c>
      <c r="AN78" s="10">
        <f t="shared" si="18"/>
        <v>0</v>
      </c>
      <c r="AO78" s="10">
        <f t="shared" si="18"/>
        <v>0</v>
      </c>
      <c r="AP78" s="10">
        <f t="shared" si="18"/>
        <v>105753</v>
      </c>
      <c r="AQ78" s="10">
        <f t="shared" si="18"/>
        <v>417630</v>
      </c>
      <c r="AR78" s="10">
        <f t="shared" si="18"/>
        <v>356763</v>
      </c>
      <c r="AS78" s="10">
        <f t="shared" si="18"/>
        <v>1424217</v>
      </c>
      <c r="AT78" s="10">
        <f t="shared" si="18"/>
        <v>-219897</v>
      </c>
      <c r="AU78" s="10">
        <f t="shared" si="18"/>
        <v>735185</v>
      </c>
      <c r="AV78" s="10">
        <f t="shared" si="18"/>
        <v>15136</v>
      </c>
      <c r="AW78" s="10">
        <f t="shared" si="18"/>
        <v>63898</v>
      </c>
      <c r="AX78" s="10">
        <f t="shared" si="18"/>
        <v>12633</v>
      </c>
      <c r="AY78" s="10">
        <f t="shared" si="18"/>
        <v>84451</v>
      </c>
      <c r="AZ78" s="10">
        <f t="shared" si="18"/>
        <v>0</v>
      </c>
      <c r="BA78" s="10">
        <f t="shared" si="18"/>
        <v>0</v>
      </c>
      <c r="BB78" s="10">
        <f t="shared" si="18"/>
        <v>9261</v>
      </c>
      <c r="BC78" s="10">
        <f t="shared" si="18"/>
        <v>22036</v>
      </c>
      <c r="BD78" s="10">
        <f t="shared" si="18"/>
        <v>62763</v>
      </c>
      <c r="BE78" s="10">
        <f t="shared" si="18"/>
        <v>225643</v>
      </c>
      <c r="BF78" s="10">
        <f t="shared" si="18"/>
        <v>0</v>
      </c>
      <c r="BG78" s="10">
        <f t="shared" si="18"/>
        <v>0</v>
      </c>
      <c r="BH78" s="10">
        <f t="shared" si="18"/>
        <v>3245674</v>
      </c>
      <c r="BI78" s="10">
        <f t="shared" si="18"/>
        <v>9172514</v>
      </c>
      <c r="BJ78" s="10">
        <f t="shared" si="18"/>
        <v>46858</v>
      </c>
      <c r="BK78" s="10">
        <f t="shared" si="18"/>
        <v>160759</v>
      </c>
      <c r="BL78" s="10">
        <f t="shared" si="18"/>
        <v>542731</v>
      </c>
      <c r="BM78" s="10">
        <f t="shared" ref="BM78:BO78" si="19">BM86-BM62-BM54-BM46-BM38-BM30-BM22-BM14-BM6-BM70</f>
        <v>681405</v>
      </c>
      <c r="BN78" s="10">
        <f t="shared" si="19"/>
        <v>24388</v>
      </c>
      <c r="BO78" s="10">
        <f t="shared" si="19"/>
        <v>82473</v>
      </c>
      <c r="BP78" s="82">
        <f t="shared" ref="BP78:BP81" si="20">B78+D78+F78+H78+J78+L78+N78+P78+R78+T78+V78+X78+Z78+AB78+AD78+AF78+AH78+AJ78+AL78+AN78+AP78+AR78+AT78+AV78+AX78+AZ78+BB78+BD78+BF78+BH78+BJ78+BL78+BN78</f>
        <v>5071614.13</v>
      </c>
      <c r="BQ78" s="82">
        <f t="shared" ref="BQ78:BQ81" si="21">C78+E78+G78+I78+K78+M78+O78+Q78+S78+U78+W78+Y78+AA78+AC78+AE78+AG78+AI78+AK78+AM78+AO78+AQ78+AS78+AU78+AW78+AY78+BA78+BC78+BE78+BG78+BI78+BK78+BM78+BO78</f>
        <v>16422542.98</v>
      </c>
    </row>
    <row r="79" spans="1:69" x14ac:dyDescent="0.25">
      <c r="A79" s="30" t="s">
        <v>288</v>
      </c>
      <c r="B79" s="10">
        <f t="shared" ref="B79:Q81" si="22">B87-B63-B55-B47-B39-B31-B23-B15-B7-B71</f>
        <v>0</v>
      </c>
      <c r="C79" s="10">
        <f t="shared" si="22"/>
        <v>0</v>
      </c>
      <c r="D79" s="10">
        <f t="shared" si="22"/>
        <v>0</v>
      </c>
      <c r="E79" s="10">
        <f t="shared" si="22"/>
        <v>0</v>
      </c>
      <c r="F79" s="10">
        <f t="shared" si="22"/>
        <v>-10</v>
      </c>
      <c r="G79" s="10">
        <f t="shared" si="22"/>
        <v>-63</v>
      </c>
      <c r="H79" s="10">
        <f t="shared" si="22"/>
        <v>0</v>
      </c>
      <c r="I79" s="10">
        <f t="shared" si="22"/>
        <v>0</v>
      </c>
      <c r="J79" s="10">
        <f t="shared" si="22"/>
        <v>1</v>
      </c>
      <c r="K79" s="10">
        <f t="shared" si="22"/>
        <v>153</v>
      </c>
      <c r="L79" s="10">
        <f t="shared" si="22"/>
        <v>0</v>
      </c>
      <c r="M79" s="10">
        <f t="shared" si="22"/>
        <v>2</v>
      </c>
      <c r="N79" s="10">
        <f t="shared" si="22"/>
        <v>0</v>
      </c>
      <c r="O79" s="10">
        <f t="shared" si="22"/>
        <v>0</v>
      </c>
      <c r="P79" s="10">
        <f t="shared" si="22"/>
        <v>0</v>
      </c>
      <c r="Q79" s="10">
        <f t="shared" si="22"/>
        <v>0</v>
      </c>
      <c r="R79" s="10">
        <f t="shared" ref="R79:BO79" si="23">R87-R63-R55-R47-R39-R31-R23-R15-R7-R71</f>
        <v>-2</v>
      </c>
      <c r="S79" s="10">
        <f t="shared" si="23"/>
        <v>-1</v>
      </c>
      <c r="T79" s="10">
        <f t="shared" si="23"/>
        <v>0</v>
      </c>
      <c r="U79" s="10">
        <f t="shared" si="23"/>
        <v>0</v>
      </c>
      <c r="V79" s="10">
        <f t="shared" si="23"/>
        <v>115</v>
      </c>
      <c r="W79" s="10">
        <f t="shared" si="23"/>
        <v>122</v>
      </c>
      <c r="X79" s="10">
        <f t="shared" si="23"/>
        <v>-711</v>
      </c>
      <c r="Y79" s="10">
        <f t="shared" si="23"/>
        <v>2998</v>
      </c>
      <c r="Z79" s="10">
        <f t="shared" si="23"/>
        <v>3681</v>
      </c>
      <c r="AA79" s="10">
        <f t="shared" si="23"/>
        <v>36932</v>
      </c>
      <c r="AB79" s="10">
        <f t="shared" si="23"/>
        <v>1439</v>
      </c>
      <c r="AC79" s="10">
        <f t="shared" si="23"/>
        <v>11399</v>
      </c>
      <c r="AD79" s="10">
        <f t="shared" si="23"/>
        <v>565</v>
      </c>
      <c r="AE79" s="10">
        <f t="shared" si="23"/>
        <v>4856</v>
      </c>
      <c r="AF79" s="10">
        <f t="shared" si="23"/>
        <v>0</v>
      </c>
      <c r="AG79" s="10">
        <f t="shared" si="23"/>
        <v>0</v>
      </c>
      <c r="AH79" s="10">
        <f t="shared" si="23"/>
        <v>-1</v>
      </c>
      <c r="AI79" s="10">
        <f t="shared" si="23"/>
        <v>0</v>
      </c>
      <c r="AJ79" s="10">
        <f t="shared" si="23"/>
        <v>0</v>
      </c>
      <c r="AK79" s="10">
        <f t="shared" si="23"/>
        <v>93</v>
      </c>
      <c r="AL79" s="10">
        <f t="shared" si="23"/>
        <v>0</v>
      </c>
      <c r="AM79" s="10">
        <f t="shared" si="23"/>
        <v>0</v>
      </c>
      <c r="AN79" s="10">
        <f t="shared" si="23"/>
        <v>0</v>
      </c>
      <c r="AO79" s="10">
        <f t="shared" si="23"/>
        <v>0</v>
      </c>
      <c r="AP79" s="10">
        <f t="shared" si="23"/>
        <v>1078</v>
      </c>
      <c r="AQ79" s="10">
        <f t="shared" si="23"/>
        <v>14022</v>
      </c>
      <c r="AR79" s="10">
        <f t="shared" si="23"/>
        <v>9919</v>
      </c>
      <c r="AS79" s="10">
        <f t="shared" si="23"/>
        <v>24844</v>
      </c>
      <c r="AT79" s="10">
        <f t="shared" si="23"/>
        <v>489</v>
      </c>
      <c r="AU79" s="10">
        <f t="shared" si="23"/>
        <v>32566</v>
      </c>
      <c r="AV79" s="10">
        <f t="shared" si="23"/>
        <v>4894</v>
      </c>
      <c r="AW79" s="10">
        <f t="shared" si="23"/>
        <v>35849</v>
      </c>
      <c r="AX79" s="10">
        <f t="shared" si="23"/>
        <v>0</v>
      </c>
      <c r="AY79" s="10">
        <f t="shared" si="23"/>
        <v>25</v>
      </c>
      <c r="AZ79" s="10">
        <f t="shared" si="23"/>
        <v>0</v>
      </c>
      <c r="BA79" s="10">
        <f t="shared" si="23"/>
        <v>0</v>
      </c>
      <c r="BB79" s="10">
        <f t="shared" si="23"/>
        <v>811</v>
      </c>
      <c r="BC79" s="10">
        <f t="shared" si="23"/>
        <v>1927</v>
      </c>
      <c r="BD79" s="10">
        <f t="shared" si="23"/>
        <v>0</v>
      </c>
      <c r="BE79" s="10">
        <f t="shared" si="23"/>
        <v>0</v>
      </c>
      <c r="BF79" s="10">
        <f t="shared" si="23"/>
        <v>0</v>
      </c>
      <c r="BG79" s="10">
        <f t="shared" si="23"/>
        <v>0</v>
      </c>
      <c r="BH79" s="10">
        <f t="shared" si="23"/>
        <v>0</v>
      </c>
      <c r="BI79" s="10">
        <f t="shared" si="23"/>
        <v>0</v>
      </c>
      <c r="BJ79" s="10">
        <f t="shared" si="23"/>
        <v>0</v>
      </c>
      <c r="BK79" s="10">
        <f t="shared" si="23"/>
        <v>0</v>
      </c>
      <c r="BL79" s="10">
        <f t="shared" si="23"/>
        <v>1850</v>
      </c>
      <c r="BM79" s="10">
        <f t="shared" si="23"/>
        <v>-37729</v>
      </c>
      <c r="BN79" s="10">
        <f t="shared" si="23"/>
        <v>114</v>
      </c>
      <c r="BO79" s="10">
        <f t="shared" si="23"/>
        <v>0</v>
      </c>
      <c r="BP79" s="82">
        <f t="shared" si="20"/>
        <v>24232</v>
      </c>
      <c r="BQ79" s="82">
        <f t="shared" si="21"/>
        <v>127995</v>
      </c>
    </row>
    <row r="80" spans="1:69" x14ac:dyDescent="0.25">
      <c r="A80" s="30" t="s">
        <v>289</v>
      </c>
      <c r="B80" s="10">
        <f t="shared" si="22"/>
        <v>0</v>
      </c>
      <c r="C80" s="10">
        <f t="shared" si="22"/>
        <v>0</v>
      </c>
      <c r="D80" s="10">
        <f t="shared" si="22"/>
        <v>0</v>
      </c>
      <c r="E80" s="10">
        <f t="shared" si="22"/>
        <v>0</v>
      </c>
      <c r="F80" s="10">
        <f t="shared" si="22"/>
        <v>512459</v>
      </c>
      <c r="G80" s="10">
        <f t="shared" si="22"/>
        <v>2976846</v>
      </c>
      <c r="H80" s="10">
        <f t="shared" si="22"/>
        <v>122</v>
      </c>
      <c r="I80" s="10">
        <f t="shared" si="22"/>
        <v>1705</v>
      </c>
      <c r="J80" s="10">
        <f t="shared" si="22"/>
        <v>471853</v>
      </c>
      <c r="K80" s="10">
        <f t="shared" si="22"/>
        <v>2297357</v>
      </c>
      <c r="L80" s="10">
        <f t="shared" si="22"/>
        <v>6688</v>
      </c>
      <c r="M80" s="10">
        <f t="shared" si="22"/>
        <v>24291</v>
      </c>
      <c r="N80" s="10">
        <f t="shared" si="22"/>
        <v>-10150</v>
      </c>
      <c r="O80" s="10">
        <f t="shared" si="22"/>
        <v>-5109</v>
      </c>
      <c r="P80" s="10">
        <f t="shared" si="22"/>
        <v>-164</v>
      </c>
      <c r="Q80" s="10">
        <f t="shared" si="22"/>
        <v>-532</v>
      </c>
      <c r="R80" s="10">
        <f t="shared" ref="R80:BO80" si="24">R88-R64-R56-R48-R40-R32-R24-R16-R8-R72</f>
        <v>16</v>
      </c>
      <c r="S80" s="10">
        <f t="shared" si="24"/>
        <v>30</v>
      </c>
      <c r="T80" s="10">
        <f t="shared" si="24"/>
        <v>150739.01999999999</v>
      </c>
      <c r="U80" s="10">
        <f t="shared" si="24"/>
        <v>465478.79</v>
      </c>
      <c r="V80" s="10">
        <f t="shared" si="24"/>
        <v>23582</v>
      </c>
      <c r="W80" s="10">
        <f t="shared" si="24"/>
        <v>79862</v>
      </c>
      <c r="X80" s="10">
        <f t="shared" si="24"/>
        <v>1421</v>
      </c>
      <c r="Y80" s="10">
        <f t="shared" si="24"/>
        <v>7374</v>
      </c>
      <c r="Z80" s="10">
        <f t="shared" si="24"/>
        <v>-77150</v>
      </c>
      <c r="AA80" s="10">
        <f t="shared" si="24"/>
        <v>-334248</v>
      </c>
      <c r="AB80" s="10">
        <f t="shared" si="24"/>
        <v>95364</v>
      </c>
      <c r="AC80" s="10">
        <f t="shared" si="24"/>
        <v>579239</v>
      </c>
      <c r="AD80" s="10">
        <f t="shared" si="24"/>
        <v>94472</v>
      </c>
      <c r="AE80" s="10">
        <f t="shared" si="24"/>
        <v>266665</v>
      </c>
      <c r="AF80" s="10">
        <f t="shared" si="24"/>
        <v>244</v>
      </c>
      <c r="AG80" s="10">
        <f t="shared" si="24"/>
        <v>4221</v>
      </c>
      <c r="AH80" s="10">
        <f t="shared" si="24"/>
        <v>7537</v>
      </c>
      <c r="AI80" s="10">
        <f t="shared" si="24"/>
        <v>28332</v>
      </c>
      <c r="AJ80" s="10">
        <f t="shared" si="24"/>
        <v>-29727</v>
      </c>
      <c r="AK80" s="10">
        <f t="shared" si="24"/>
        <v>-46385</v>
      </c>
      <c r="AL80" s="10">
        <f t="shared" si="24"/>
        <v>0</v>
      </c>
      <c r="AM80" s="10">
        <f t="shared" si="24"/>
        <v>0</v>
      </c>
      <c r="AN80" s="10">
        <f t="shared" si="24"/>
        <v>0</v>
      </c>
      <c r="AO80" s="10">
        <f t="shared" si="24"/>
        <v>0</v>
      </c>
      <c r="AP80" s="10">
        <f t="shared" si="24"/>
        <v>-473741</v>
      </c>
      <c r="AQ80" s="10">
        <f t="shared" si="24"/>
        <v>85329</v>
      </c>
      <c r="AR80" s="10">
        <f t="shared" si="24"/>
        <v>120274</v>
      </c>
      <c r="AS80" s="10">
        <f t="shared" si="24"/>
        <v>292859</v>
      </c>
      <c r="AT80" s="10">
        <f t="shared" si="24"/>
        <v>327413</v>
      </c>
      <c r="AU80" s="10">
        <f t="shared" si="24"/>
        <v>832882</v>
      </c>
      <c r="AV80" s="10">
        <f t="shared" si="24"/>
        <v>2011</v>
      </c>
      <c r="AW80" s="10">
        <f t="shared" si="24"/>
        <v>22379</v>
      </c>
      <c r="AX80" s="10">
        <f t="shared" si="24"/>
        <v>140309</v>
      </c>
      <c r="AY80" s="10">
        <f t="shared" si="24"/>
        <v>150683</v>
      </c>
      <c r="AZ80" s="10">
        <f t="shared" si="24"/>
        <v>0</v>
      </c>
      <c r="BA80" s="10">
        <f t="shared" si="24"/>
        <v>0</v>
      </c>
      <c r="BB80" s="10">
        <f t="shared" si="24"/>
        <v>-6743</v>
      </c>
      <c r="BC80" s="10">
        <f t="shared" si="24"/>
        <v>-23644</v>
      </c>
      <c r="BD80" s="10">
        <f t="shared" si="24"/>
        <v>24751</v>
      </c>
      <c r="BE80" s="10">
        <f t="shared" si="24"/>
        <v>112076</v>
      </c>
      <c r="BF80" s="10">
        <f t="shared" si="24"/>
        <v>0</v>
      </c>
      <c r="BG80" s="10">
        <f t="shared" si="24"/>
        <v>0</v>
      </c>
      <c r="BH80" s="10">
        <f t="shared" si="24"/>
        <v>2982893</v>
      </c>
      <c r="BI80" s="10">
        <f t="shared" si="24"/>
        <v>5768377</v>
      </c>
      <c r="BJ80" s="10">
        <f t="shared" si="24"/>
        <v>15186</v>
      </c>
      <c r="BK80" s="10">
        <f t="shared" si="24"/>
        <v>153505</v>
      </c>
      <c r="BL80" s="10">
        <f t="shared" si="24"/>
        <v>100791</v>
      </c>
      <c r="BM80" s="10">
        <f t="shared" si="24"/>
        <v>110795</v>
      </c>
      <c r="BN80" s="10">
        <f t="shared" si="24"/>
        <v>13311</v>
      </c>
      <c r="BO80" s="10">
        <f t="shared" si="24"/>
        <v>16957</v>
      </c>
      <c r="BP80" s="82">
        <f t="shared" si="20"/>
        <v>4493761.0199999996</v>
      </c>
      <c r="BQ80" s="82">
        <f t="shared" si="21"/>
        <v>13867324.789999999</v>
      </c>
    </row>
    <row r="81" spans="1:69" x14ac:dyDescent="0.25">
      <c r="A81" s="30" t="s">
        <v>238</v>
      </c>
      <c r="B81" s="10">
        <f t="shared" si="22"/>
        <v>0</v>
      </c>
      <c r="C81" s="10">
        <f t="shared" si="22"/>
        <v>0</v>
      </c>
      <c r="D81" s="10">
        <f t="shared" si="22"/>
        <v>0</v>
      </c>
      <c r="E81" s="10">
        <f t="shared" si="22"/>
        <v>0</v>
      </c>
      <c r="F81" s="10">
        <f t="shared" si="22"/>
        <v>-415418</v>
      </c>
      <c r="G81" s="10">
        <f t="shared" si="22"/>
        <v>-2658513</v>
      </c>
      <c r="H81" s="10">
        <f t="shared" si="22"/>
        <v>1834</v>
      </c>
      <c r="I81" s="10">
        <f t="shared" si="22"/>
        <v>21719</v>
      </c>
      <c r="J81" s="10">
        <f t="shared" si="22"/>
        <v>-217886</v>
      </c>
      <c r="K81" s="10">
        <f t="shared" si="22"/>
        <v>-1139281</v>
      </c>
      <c r="L81" s="10">
        <f t="shared" si="22"/>
        <v>2043</v>
      </c>
      <c r="M81" s="10">
        <f t="shared" si="22"/>
        <v>10526</v>
      </c>
      <c r="N81" s="10">
        <f t="shared" si="22"/>
        <v>2626</v>
      </c>
      <c r="O81" s="10">
        <f t="shared" si="22"/>
        <v>51731</v>
      </c>
      <c r="P81" s="10">
        <f t="shared" si="22"/>
        <v>-202</v>
      </c>
      <c r="Q81" s="10">
        <f t="shared" si="22"/>
        <v>-432</v>
      </c>
      <c r="R81" s="10">
        <f t="shared" ref="R81:BO81" si="25">R89-R65-R57-R49-R41-R33-R25-R17-R9-R73</f>
        <v>-3</v>
      </c>
      <c r="S81" s="10">
        <f t="shared" si="25"/>
        <v>60</v>
      </c>
      <c r="T81" s="10">
        <f t="shared" si="25"/>
        <v>-100201.89</v>
      </c>
      <c r="U81" s="10">
        <f t="shared" si="25"/>
        <v>-371568.81</v>
      </c>
      <c r="V81" s="10">
        <f t="shared" si="25"/>
        <v>47778</v>
      </c>
      <c r="W81" s="10">
        <f t="shared" si="25"/>
        <v>79574</v>
      </c>
      <c r="X81" s="10">
        <f t="shared" si="25"/>
        <v>-1149</v>
      </c>
      <c r="Y81" s="10">
        <f t="shared" si="25"/>
        <v>-2452</v>
      </c>
      <c r="Z81" s="10">
        <f t="shared" si="25"/>
        <v>24960</v>
      </c>
      <c r="AA81" s="10">
        <f t="shared" si="25"/>
        <v>86274</v>
      </c>
      <c r="AB81" s="10">
        <f t="shared" si="25"/>
        <v>62346</v>
      </c>
      <c r="AC81" s="10">
        <f t="shared" si="25"/>
        <v>29762</v>
      </c>
      <c r="AD81" s="10">
        <f t="shared" si="25"/>
        <v>3790</v>
      </c>
      <c r="AE81" s="10">
        <f t="shared" si="25"/>
        <v>135122</v>
      </c>
      <c r="AF81" s="10">
        <f t="shared" si="25"/>
        <v>4780</v>
      </c>
      <c r="AG81" s="10">
        <f t="shared" si="25"/>
        <v>16216</v>
      </c>
      <c r="AH81" s="10">
        <f t="shared" si="25"/>
        <v>13907</v>
      </c>
      <c r="AI81" s="10">
        <f t="shared" si="25"/>
        <v>68639</v>
      </c>
      <c r="AJ81" s="10">
        <f t="shared" si="25"/>
        <v>-15964</v>
      </c>
      <c r="AK81" s="10">
        <f t="shared" si="25"/>
        <v>-26035</v>
      </c>
      <c r="AL81" s="10">
        <f t="shared" si="25"/>
        <v>0</v>
      </c>
      <c r="AM81" s="10">
        <f t="shared" si="25"/>
        <v>-1</v>
      </c>
      <c r="AN81" s="10">
        <f t="shared" si="25"/>
        <v>0</v>
      </c>
      <c r="AO81" s="10">
        <f t="shared" si="25"/>
        <v>0</v>
      </c>
      <c r="AP81" s="10">
        <f t="shared" si="25"/>
        <v>580573</v>
      </c>
      <c r="AQ81" s="10">
        <f t="shared" si="25"/>
        <v>346325</v>
      </c>
      <c r="AR81" s="10">
        <f t="shared" si="25"/>
        <v>246410</v>
      </c>
      <c r="AS81" s="10">
        <f t="shared" si="25"/>
        <v>1156202</v>
      </c>
      <c r="AT81" s="10">
        <f t="shared" si="25"/>
        <v>-546821</v>
      </c>
      <c r="AU81" s="10">
        <f t="shared" si="25"/>
        <v>-65131</v>
      </c>
      <c r="AV81" s="10">
        <f t="shared" si="25"/>
        <v>18015</v>
      </c>
      <c r="AW81" s="10">
        <f t="shared" si="25"/>
        <v>77370</v>
      </c>
      <c r="AX81" s="10">
        <f t="shared" si="25"/>
        <v>-127676</v>
      </c>
      <c r="AY81" s="10">
        <f t="shared" si="25"/>
        <v>-66207</v>
      </c>
      <c r="AZ81" s="10">
        <f t="shared" si="25"/>
        <v>0</v>
      </c>
      <c r="BA81" s="10">
        <f t="shared" si="25"/>
        <v>0</v>
      </c>
      <c r="BB81" s="10">
        <f t="shared" si="25"/>
        <v>3330</v>
      </c>
      <c r="BC81" s="10">
        <f t="shared" si="25"/>
        <v>319</v>
      </c>
      <c r="BD81" s="10">
        <f t="shared" si="25"/>
        <v>38012</v>
      </c>
      <c r="BE81" s="10">
        <f t="shared" si="25"/>
        <v>113567</v>
      </c>
      <c r="BF81" s="10">
        <f t="shared" si="25"/>
        <v>0</v>
      </c>
      <c r="BG81" s="10">
        <f t="shared" si="25"/>
        <v>0</v>
      </c>
      <c r="BH81" s="10">
        <f t="shared" si="25"/>
        <v>262781</v>
      </c>
      <c r="BI81" s="10">
        <f t="shared" si="25"/>
        <v>3404137</v>
      </c>
      <c r="BJ81" s="10">
        <f t="shared" si="25"/>
        <v>31672</v>
      </c>
      <c r="BK81" s="10">
        <f t="shared" si="25"/>
        <v>7254</v>
      </c>
      <c r="BL81" s="10">
        <f t="shared" si="25"/>
        <v>443790</v>
      </c>
      <c r="BM81" s="10">
        <f t="shared" si="25"/>
        <v>532881</v>
      </c>
      <c r="BN81" s="10">
        <f t="shared" si="25"/>
        <v>11191</v>
      </c>
      <c r="BO81" s="10">
        <f t="shared" si="25"/>
        <v>65516</v>
      </c>
      <c r="BP81" s="82">
        <f t="shared" si="20"/>
        <v>374517.11</v>
      </c>
      <c r="BQ81" s="82">
        <f t="shared" si="21"/>
        <v>1873573.19</v>
      </c>
    </row>
    <row r="82" spans="1:69" x14ac:dyDescent="0.25">
      <c r="A82" s="28"/>
    </row>
    <row r="83" spans="1:69" x14ac:dyDescent="0.25">
      <c r="A83" s="29" t="s">
        <v>54</v>
      </c>
    </row>
    <row r="84" spans="1:69" x14ac:dyDescent="0.25">
      <c r="A84" s="3" t="s">
        <v>0</v>
      </c>
      <c r="B84" s="111" t="s">
        <v>1</v>
      </c>
      <c r="C84" s="112"/>
      <c r="D84" s="111" t="s">
        <v>2</v>
      </c>
      <c r="E84" s="112"/>
      <c r="F84" s="111" t="s">
        <v>3</v>
      </c>
      <c r="G84" s="112"/>
      <c r="H84" s="111" t="s">
        <v>295</v>
      </c>
      <c r="I84" s="112"/>
      <c r="J84" s="111" t="s">
        <v>5</v>
      </c>
      <c r="K84" s="112"/>
      <c r="L84" s="111" t="s">
        <v>6</v>
      </c>
      <c r="M84" s="112"/>
      <c r="N84" s="111" t="s">
        <v>7</v>
      </c>
      <c r="O84" s="112"/>
      <c r="P84" s="111" t="s">
        <v>309</v>
      </c>
      <c r="Q84" s="112"/>
      <c r="R84" s="111" t="s">
        <v>9</v>
      </c>
      <c r="S84" s="112"/>
      <c r="T84" s="111" t="s">
        <v>10</v>
      </c>
      <c r="U84" s="112"/>
      <c r="V84" s="111" t="s">
        <v>11</v>
      </c>
      <c r="W84" s="112"/>
      <c r="X84" s="111" t="s">
        <v>12</v>
      </c>
      <c r="Y84" s="112"/>
      <c r="Z84" s="111" t="s">
        <v>13</v>
      </c>
      <c r="AA84" s="112"/>
      <c r="AB84" s="111" t="s">
        <v>14</v>
      </c>
      <c r="AC84" s="112"/>
      <c r="AD84" s="111" t="s">
        <v>15</v>
      </c>
      <c r="AE84" s="112"/>
      <c r="AF84" s="111" t="s">
        <v>16</v>
      </c>
      <c r="AG84" s="112"/>
      <c r="AH84" s="111" t="s">
        <v>17</v>
      </c>
      <c r="AI84" s="112"/>
      <c r="AJ84" s="111" t="s">
        <v>18</v>
      </c>
      <c r="AK84" s="112"/>
      <c r="AL84" s="111" t="s">
        <v>293</v>
      </c>
      <c r="AM84" s="112"/>
      <c r="AN84" s="111" t="s">
        <v>19</v>
      </c>
      <c r="AO84" s="112"/>
      <c r="AP84" s="111" t="s">
        <v>20</v>
      </c>
      <c r="AQ84" s="112"/>
      <c r="AR84" s="111" t="s">
        <v>21</v>
      </c>
      <c r="AS84" s="112"/>
      <c r="AT84" s="111" t="s">
        <v>22</v>
      </c>
      <c r="AU84" s="112"/>
      <c r="AV84" s="111" t="s">
        <v>23</v>
      </c>
      <c r="AW84" s="112"/>
      <c r="AX84" s="111" t="s">
        <v>24</v>
      </c>
      <c r="AY84" s="112"/>
      <c r="AZ84" s="111" t="s">
        <v>25</v>
      </c>
      <c r="BA84" s="112"/>
      <c r="BB84" s="111" t="s">
        <v>26</v>
      </c>
      <c r="BC84" s="112"/>
      <c r="BD84" s="111" t="s">
        <v>27</v>
      </c>
      <c r="BE84" s="112"/>
      <c r="BF84" s="111" t="s">
        <v>28</v>
      </c>
      <c r="BG84" s="112"/>
      <c r="BH84" s="111" t="s">
        <v>29</v>
      </c>
      <c r="BI84" s="112"/>
      <c r="BJ84" s="111" t="s">
        <v>30</v>
      </c>
      <c r="BK84" s="112"/>
      <c r="BL84" s="115" t="s">
        <v>31</v>
      </c>
      <c r="BM84" s="116"/>
      <c r="BN84" s="111" t="s">
        <v>32</v>
      </c>
      <c r="BO84" s="112"/>
      <c r="BP84" s="113" t="s">
        <v>33</v>
      </c>
      <c r="BQ84" s="114"/>
    </row>
    <row r="85" spans="1:69" ht="30" x14ac:dyDescent="0.25">
      <c r="A85" s="3"/>
      <c r="B85" s="66" t="s">
        <v>298</v>
      </c>
      <c r="C85" s="67" t="s">
        <v>299</v>
      </c>
      <c r="D85" s="66" t="s">
        <v>298</v>
      </c>
      <c r="E85" s="67" t="s">
        <v>299</v>
      </c>
      <c r="F85" s="66" t="s">
        <v>298</v>
      </c>
      <c r="G85" s="67" t="s">
        <v>299</v>
      </c>
      <c r="H85" s="66" t="s">
        <v>298</v>
      </c>
      <c r="I85" s="67" t="s">
        <v>299</v>
      </c>
      <c r="J85" s="66" t="s">
        <v>298</v>
      </c>
      <c r="K85" s="67" t="s">
        <v>299</v>
      </c>
      <c r="L85" s="66" t="s">
        <v>298</v>
      </c>
      <c r="M85" s="67" t="s">
        <v>299</v>
      </c>
      <c r="N85" s="66" t="s">
        <v>298</v>
      </c>
      <c r="O85" s="67" t="s">
        <v>299</v>
      </c>
      <c r="P85" s="66" t="s">
        <v>298</v>
      </c>
      <c r="Q85" s="67" t="s">
        <v>299</v>
      </c>
      <c r="R85" s="66" t="s">
        <v>298</v>
      </c>
      <c r="S85" s="67" t="s">
        <v>299</v>
      </c>
      <c r="T85" s="66" t="s">
        <v>298</v>
      </c>
      <c r="U85" s="67" t="s">
        <v>299</v>
      </c>
      <c r="V85" s="66" t="s">
        <v>298</v>
      </c>
      <c r="W85" s="67" t="s">
        <v>299</v>
      </c>
      <c r="X85" s="66" t="s">
        <v>298</v>
      </c>
      <c r="Y85" s="67" t="s">
        <v>299</v>
      </c>
      <c r="Z85" s="66" t="s">
        <v>298</v>
      </c>
      <c r="AA85" s="67" t="s">
        <v>299</v>
      </c>
      <c r="AB85" s="66" t="s">
        <v>298</v>
      </c>
      <c r="AC85" s="67" t="s">
        <v>299</v>
      </c>
      <c r="AD85" s="66" t="s">
        <v>298</v>
      </c>
      <c r="AE85" s="67" t="s">
        <v>299</v>
      </c>
      <c r="AF85" s="66" t="s">
        <v>298</v>
      </c>
      <c r="AG85" s="67" t="s">
        <v>299</v>
      </c>
      <c r="AH85" s="66" t="s">
        <v>298</v>
      </c>
      <c r="AI85" s="67" t="s">
        <v>299</v>
      </c>
      <c r="AJ85" s="66" t="s">
        <v>298</v>
      </c>
      <c r="AK85" s="67" t="s">
        <v>299</v>
      </c>
      <c r="AL85" s="66" t="s">
        <v>298</v>
      </c>
      <c r="AM85" s="67" t="s">
        <v>299</v>
      </c>
      <c r="AN85" s="66" t="s">
        <v>298</v>
      </c>
      <c r="AO85" s="67" t="s">
        <v>299</v>
      </c>
      <c r="AP85" s="66" t="s">
        <v>298</v>
      </c>
      <c r="AQ85" s="67" t="s">
        <v>299</v>
      </c>
      <c r="AR85" s="66" t="s">
        <v>298</v>
      </c>
      <c r="AS85" s="67" t="s">
        <v>299</v>
      </c>
      <c r="AT85" s="66" t="s">
        <v>298</v>
      </c>
      <c r="AU85" s="67" t="s">
        <v>299</v>
      </c>
      <c r="AV85" s="66" t="s">
        <v>298</v>
      </c>
      <c r="AW85" s="67" t="s">
        <v>299</v>
      </c>
      <c r="AX85" s="66" t="s">
        <v>298</v>
      </c>
      <c r="AY85" s="67" t="s">
        <v>299</v>
      </c>
      <c r="AZ85" s="66" t="s">
        <v>298</v>
      </c>
      <c r="BA85" s="67" t="s">
        <v>299</v>
      </c>
      <c r="BB85" s="66" t="s">
        <v>298</v>
      </c>
      <c r="BC85" s="67" t="s">
        <v>299</v>
      </c>
      <c r="BD85" s="66" t="s">
        <v>298</v>
      </c>
      <c r="BE85" s="67" t="s">
        <v>299</v>
      </c>
      <c r="BF85" s="66" t="s">
        <v>298</v>
      </c>
      <c r="BG85" s="67" t="s">
        <v>299</v>
      </c>
      <c r="BH85" s="66" t="s">
        <v>298</v>
      </c>
      <c r="BI85" s="67" t="s">
        <v>299</v>
      </c>
      <c r="BJ85" s="66" t="s">
        <v>298</v>
      </c>
      <c r="BK85" s="67" t="s">
        <v>299</v>
      </c>
      <c r="BL85" s="66" t="s">
        <v>298</v>
      </c>
      <c r="BM85" s="67" t="s">
        <v>299</v>
      </c>
      <c r="BN85" s="66" t="s">
        <v>298</v>
      </c>
      <c r="BO85" s="67" t="s">
        <v>299</v>
      </c>
      <c r="BP85" s="66" t="s">
        <v>298</v>
      </c>
      <c r="BQ85" s="67" t="s">
        <v>299</v>
      </c>
    </row>
    <row r="86" spans="1:69" x14ac:dyDescent="0.25">
      <c r="A86" s="30" t="s">
        <v>237</v>
      </c>
      <c r="B86" s="10">
        <v>29870</v>
      </c>
      <c r="C86" s="10">
        <v>61718</v>
      </c>
      <c r="D86" s="10">
        <v>396261</v>
      </c>
      <c r="E86" s="10">
        <v>1060202</v>
      </c>
      <c r="F86" s="10">
        <v>97051</v>
      </c>
      <c r="G86" s="10">
        <v>318396</v>
      </c>
      <c r="H86" s="10">
        <v>1208027</v>
      </c>
      <c r="I86" s="10">
        <v>3190411</v>
      </c>
      <c r="J86" s="10">
        <v>1943082</v>
      </c>
      <c r="K86" s="10">
        <v>8275206</v>
      </c>
      <c r="L86" s="10">
        <v>583631</v>
      </c>
      <c r="M86" s="10">
        <v>2355161</v>
      </c>
      <c r="N86" s="10">
        <v>364987</v>
      </c>
      <c r="O86" s="10">
        <v>3269239</v>
      </c>
      <c r="P86" s="10">
        <v>25984</v>
      </c>
      <c r="Q86" s="10">
        <v>121690</v>
      </c>
      <c r="R86" s="10">
        <v>49659</v>
      </c>
      <c r="S86" s="10">
        <v>116328</v>
      </c>
      <c r="T86" s="10">
        <v>50537.13</v>
      </c>
      <c r="U86" s="10">
        <v>93909.98</v>
      </c>
      <c r="V86" s="10">
        <v>538949</v>
      </c>
      <c r="W86" s="10">
        <v>1822616</v>
      </c>
      <c r="X86" s="10">
        <v>149883</v>
      </c>
      <c r="Y86" s="10">
        <v>638743</v>
      </c>
      <c r="Z86" s="10">
        <v>1695785</v>
      </c>
      <c r="AA86" s="10">
        <v>7039454</v>
      </c>
      <c r="AB86" s="10">
        <v>3297020</v>
      </c>
      <c r="AC86" s="10">
        <v>12466575</v>
      </c>
      <c r="AD86" s="10">
        <v>1369341</v>
      </c>
      <c r="AE86" s="10">
        <v>5379795</v>
      </c>
      <c r="AF86" s="10">
        <v>105256</v>
      </c>
      <c r="AG86" s="10">
        <v>396613</v>
      </c>
      <c r="AH86" s="10">
        <v>428315</v>
      </c>
      <c r="AI86" s="10">
        <v>1672138</v>
      </c>
      <c r="AJ86" s="86">
        <v>200342</v>
      </c>
      <c r="AK86" s="30">
        <v>710741</v>
      </c>
      <c r="AL86" s="10">
        <v>220095</v>
      </c>
      <c r="AM86" s="10">
        <v>690167</v>
      </c>
      <c r="AN86" s="10">
        <v>506082</v>
      </c>
      <c r="AO86" s="10">
        <v>1532070</v>
      </c>
      <c r="AP86" s="155">
        <v>2876695</v>
      </c>
      <c r="AQ86" s="155">
        <v>10155097</v>
      </c>
      <c r="AR86" s="10">
        <v>7172167</v>
      </c>
      <c r="AS86" s="10">
        <v>25181531</v>
      </c>
      <c r="AT86" s="10">
        <v>2939946</v>
      </c>
      <c r="AU86" s="10">
        <v>9574086</v>
      </c>
      <c r="AV86" s="10">
        <v>35552</v>
      </c>
      <c r="AW86" s="10">
        <v>101238</v>
      </c>
      <c r="AX86" s="10">
        <v>702635</v>
      </c>
      <c r="AY86" s="10">
        <v>3817554</v>
      </c>
      <c r="AZ86" s="10">
        <v>851488</v>
      </c>
      <c r="BA86" s="10">
        <v>2566552</v>
      </c>
      <c r="BB86" s="10">
        <v>800565</v>
      </c>
      <c r="BC86" s="10">
        <v>3154405</v>
      </c>
      <c r="BD86" s="10">
        <v>1416779</v>
      </c>
      <c r="BE86" s="10">
        <v>4869375</v>
      </c>
      <c r="BF86" s="155"/>
      <c r="BG86" s="10"/>
      <c r="BH86" s="10">
        <v>3245674</v>
      </c>
      <c r="BI86" s="10">
        <v>9172514</v>
      </c>
      <c r="BJ86" s="10">
        <v>1458843</v>
      </c>
      <c r="BK86" s="10">
        <v>6510248</v>
      </c>
      <c r="BL86" s="10">
        <v>3659890</v>
      </c>
      <c r="BM86" s="10">
        <v>9903756</v>
      </c>
      <c r="BN86" s="10">
        <v>424500</v>
      </c>
      <c r="BO86" s="10">
        <v>1329137</v>
      </c>
      <c r="BP86" s="82">
        <f t="shared" ref="BP86:BP89" si="26">B86+D86+F86+H86+J86+L86+N86+P86+R86+T86+V86+X86+Z86+AB86+AD86+AF86+AH86+AJ86+AL86+AN86+AP86+AR86+AT86+AV86+AX86+AZ86+BB86+BD86+BF86+BH86+BJ86+BL86+BN86</f>
        <v>38844891.129999995</v>
      </c>
      <c r="BQ86" s="82">
        <f t="shared" ref="BQ86:BQ89" si="27">C86+E86+G86+I86+K86+M86+O86+Q86+S86+U86+W86+Y86+AA86+AC86+AE86+AG86+AI86+AK86+AM86+AO86+AQ86+AS86+AU86+AW86+AY86+BA86+BC86+BE86+BG86+BI86+BK86+BM86+BO86</f>
        <v>137546665.98000002</v>
      </c>
    </row>
    <row r="87" spans="1:69" x14ac:dyDescent="0.25">
      <c r="A87" s="30" t="s">
        <v>288</v>
      </c>
      <c r="B87" s="10"/>
      <c r="C87" s="10"/>
      <c r="D87" s="10"/>
      <c r="E87" s="10"/>
      <c r="F87" s="10">
        <v>-10</v>
      </c>
      <c r="G87" s="10">
        <v>-63</v>
      </c>
      <c r="H87" s="10"/>
      <c r="I87" s="10"/>
      <c r="J87" s="10">
        <v>11220</v>
      </c>
      <c r="K87" s="10">
        <v>52387</v>
      </c>
      <c r="L87" s="10">
        <v>2494</v>
      </c>
      <c r="M87" s="10">
        <v>14039</v>
      </c>
      <c r="N87" s="10">
        <v>554</v>
      </c>
      <c r="O87" s="10">
        <v>3102</v>
      </c>
      <c r="P87" s="10">
        <v>159</v>
      </c>
      <c r="Q87" s="10">
        <v>774</v>
      </c>
      <c r="R87" s="10">
        <v>4150</v>
      </c>
      <c r="S87" s="10">
        <v>11919</v>
      </c>
      <c r="T87" s="10"/>
      <c r="U87" s="10"/>
      <c r="V87" s="10">
        <v>3244</v>
      </c>
      <c r="W87" s="10">
        <v>35552</v>
      </c>
      <c r="X87" s="10">
        <v>404751</v>
      </c>
      <c r="Y87" s="10">
        <v>606009</v>
      </c>
      <c r="Z87" s="10">
        <v>17101</v>
      </c>
      <c r="AA87" s="10">
        <v>96400</v>
      </c>
      <c r="AB87" s="10">
        <v>59830</v>
      </c>
      <c r="AC87" s="10">
        <v>346618</v>
      </c>
      <c r="AD87" s="10">
        <v>12717</v>
      </c>
      <c r="AE87" s="10">
        <v>57234</v>
      </c>
      <c r="AF87" s="10">
        <v>142</v>
      </c>
      <c r="AG87" s="10">
        <v>794</v>
      </c>
      <c r="AH87" s="10">
        <v>295</v>
      </c>
      <c r="AI87" s="10">
        <v>1652</v>
      </c>
      <c r="AJ87" s="86">
        <v>5526</v>
      </c>
      <c r="AK87" s="30">
        <v>44275</v>
      </c>
      <c r="AL87" s="10"/>
      <c r="AM87" s="10"/>
      <c r="AN87" s="10"/>
      <c r="AO87" s="10"/>
      <c r="AP87" s="155">
        <v>183120</v>
      </c>
      <c r="AQ87" s="155">
        <v>375314</v>
      </c>
      <c r="AR87" s="10">
        <v>718400</v>
      </c>
      <c r="AS87" s="10">
        <v>2388560</v>
      </c>
      <c r="AT87" s="10">
        <v>95824</v>
      </c>
      <c r="AU87" s="10">
        <v>545319</v>
      </c>
      <c r="AV87" s="10">
        <v>5285</v>
      </c>
      <c r="AW87" s="10">
        <v>42279</v>
      </c>
      <c r="AX87" s="10">
        <v>3806</v>
      </c>
      <c r="AY87" s="10">
        <v>24358</v>
      </c>
      <c r="AZ87" s="10">
        <v>1068</v>
      </c>
      <c r="BA87" s="10">
        <v>2597</v>
      </c>
      <c r="BB87" s="10">
        <v>6918</v>
      </c>
      <c r="BC87" s="10">
        <v>45245</v>
      </c>
      <c r="BD87" s="10">
        <v>1558</v>
      </c>
      <c r="BE87" s="10">
        <v>20471</v>
      </c>
      <c r="BF87" s="155"/>
      <c r="BG87" s="10"/>
      <c r="BH87" s="10"/>
      <c r="BI87" s="10"/>
      <c r="BJ87" s="10">
        <v>34820</v>
      </c>
      <c r="BK87" s="10">
        <v>154704</v>
      </c>
      <c r="BL87" s="10">
        <v>42911</v>
      </c>
      <c r="BM87" s="10">
        <v>306808</v>
      </c>
      <c r="BN87" s="10">
        <v>694</v>
      </c>
      <c r="BO87" s="10">
        <v>3771</v>
      </c>
      <c r="BP87" s="82">
        <f t="shared" si="26"/>
        <v>1616577</v>
      </c>
      <c r="BQ87" s="82">
        <f t="shared" si="27"/>
        <v>5180118</v>
      </c>
    </row>
    <row r="88" spans="1:69" x14ac:dyDescent="0.25">
      <c r="A88" s="30" t="s">
        <v>289</v>
      </c>
      <c r="B88" s="10">
        <v>106681</v>
      </c>
      <c r="C88" s="10">
        <v>192008</v>
      </c>
      <c r="D88" s="10">
        <v>207231</v>
      </c>
      <c r="E88" s="10">
        <v>545162</v>
      </c>
      <c r="F88" s="10">
        <v>512459</v>
      </c>
      <c r="G88" s="10">
        <v>2976846</v>
      </c>
      <c r="H88" s="10">
        <v>594011</v>
      </c>
      <c r="I88" s="10">
        <v>1885071</v>
      </c>
      <c r="J88" s="10">
        <v>1496437</v>
      </c>
      <c r="K88" s="10">
        <v>7411256</v>
      </c>
      <c r="L88" s="10">
        <v>304922</v>
      </c>
      <c r="M88" s="10">
        <v>1289313</v>
      </c>
      <c r="N88" s="10">
        <v>727344</v>
      </c>
      <c r="O88" s="10">
        <v>2752754</v>
      </c>
      <c r="P88" s="10">
        <v>-43183</v>
      </c>
      <c r="Q88" s="10">
        <v>-156944</v>
      </c>
      <c r="R88" s="10">
        <v>18767</v>
      </c>
      <c r="S88" s="10">
        <v>76362</v>
      </c>
      <c r="T88" s="10">
        <v>150739.01999999999</v>
      </c>
      <c r="U88" s="10">
        <v>465478.79</v>
      </c>
      <c r="V88" s="10">
        <v>295330</v>
      </c>
      <c r="W88" s="10">
        <v>970326</v>
      </c>
      <c r="X88" s="10">
        <v>383065</v>
      </c>
      <c r="Y88" s="10">
        <v>1440078</v>
      </c>
      <c r="Z88" s="10">
        <v>-2376957</v>
      </c>
      <c r="AA88" s="10">
        <v>-9470047</v>
      </c>
      <c r="AB88" s="10">
        <v>1652981</v>
      </c>
      <c r="AC88" s="10">
        <v>9173258</v>
      </c>
      <c r="AD88" s="10">
        <v>1034767</v>
      </c>
      <c r="AE88" s="10">
        <v>3783354</v>
      </c>
      <c r="AF88" s="10">
        <v>33901</v>
      </c>
      <c r="AG88" s="10">
        <v>116877</v>
      </c>
      <c r="AH88" s="10">
        <v>85109</v>
      </c>
      <c r="AI88" s="10">
        <v>244203</v>
      </c>
      <c r="AJ88" s="86">
        <v>-326744</v>
      </c>
      <c r="AK88" s="30">
        <v>-1384055</v>
      </c>
      <c r="AL88" s="10">
        <v>29397</v>
      </c>
      <c r="AM88" s="10">
        <v>59915</v>
      </c>
      <c r="AN88" s="10">
        <v>202449</v>
      </c>
      <c r="AO88" s="10">
        <v>1103314</v>
      </c>
      <c r="AP88" s="155">
        <v>216552</v>
      </c>
      <c r="AQ88" s="155">
        <v>2488772</v>
      </c>
      <c r="AR88" s="10">
        <v>1561106</v>
      </c>
      <c r="AS88" s="10">
        <v>4632516</v>
      </c>
      <c r="AT88" s="10">
        <v>412607</v>
      </c>
      <c r="AU88" s="10">
        <v>1948241</v>
      </c>
      <c r="AV88" s="10">
        <v>5416</v>
      </c>
      <c r="AW88" s="10">
        <v>32788</v>
      </c>
      <c r="AX88" s="10">
        <v>1341507</v>
      </c>
      <c r="AY88" s="10">
        <v>6046289</v>
      </c>
      <c r="AZ88" s="10">
        <v>842329</v>
      </c>
      <c r="BA88" s="10">
        <v>2790850</v>
      </c>
      <c r="BB88" s="10">
        <v>-283677</v>
      </c>
      <c r="BC88" s="10">
        <v>-1682836</v>
      </c>
      <c r="BD88" s="10">
        <v>1844870</v>
      </c>
      <c r="BE88" s="10">
        <v>5971445</v>
      </c>
      <c r="BF88" s="155"/>
      <c r="BG88" s="10"/>
      <c r="BH88" s="10">
        <v>2982893</v>
      </c>
      <c r="BI88" s="10">
        <v>5768377</v>
      </c>
      <c r="BJ88" s="10">
        <v>1300201</v>
      </c>
      <c r="BK88" s="10">
        <v>6966956</v>
      </c>
      <c r="BL88" s="10">
        <v>743770</v>
      </c>
      <c r="BM88" s="10">
        <v>2563508</v>
      </c>
      <c r="BN88" s="10">
        <v>293155</v>
      </c>
      <c r="BO88" s="10">
        <v>828583</v>
      </c>
      <c r="BP88" s="82">
        <f t="shared" si="26"/>
        <v>16349435.02</v>
      </c>
      <c r="BQ88" s="82">
        <f t="shared" si="27"/>
        <v>61830018.789999999</v>
      </c>
    </row>
    <row r="89" spans="1:69" x14ac:dyDescent="0.25">
      <c r="A89" s="30" t="s">
        <v>238</v>
      </c>
      <c r="B89" s="10">
        <v>-76811</v>
      </c>
      <c r="C89" s="10">
        <v>-130290</v>
      </c>
      <c r="D89" s="10">
        <v>189030</v>
      </c>
      <c r="E89" s="10">
        <v>515040</v>
      </c>
      <c r="F89" s="10">
        <v>-415418</v>
      </c>
      <c r="G89" s="10">
        <v>-2658513</v>
      </c>
      <c r="H89" s="10">
        <v>614016</v>
      </c>
      <c r="I89" s="10">
        <v>1305340</v>
      </c>
      <c r="J89" s="10">
        <v>457865</v>
      </c>
      <c r="K89" s="10">
        <v>916337</v>
      </c>
      <c r="L89" s="10">
        <v>281202</v>
      </c>
      <c r="M89" s="10">
        <v>1079887</v>
      </c>
      <c r="N89" s="10">
        <v>-361803</v>
      </c>
      <c r="O89" s="10">
        <v>519587</v>
      </c>
      <c r="P89" s="10">
        <v>-17040</v>
      </c>
      <c r="Q89" s="10">
        <v>-34480</v>
      </c>
      <c r="R89" s="10">
        <v>35042</v>
      </c>
      <c r="S89" s="10">
        <v>51885</v>
      </c>
      <c r="T89" s="10">
        <v>-100201.89</v>
      </c>
      <c r="U89" s="10">
        <v>-371568.81</v>
      </c>
      <c r="V89" s="10">
        <v>246863</v>
      </c>
      <c r="W89" s="10">
        <v>887842</v>
      </c>
      <c r="X89" s="10">
        <v>171570</v>
      </c>
      <c r="Y89" s="10">
        <v>-195326</v>
      </c>
      <c r="Z89" s="10">
        <v>-664072</v>
      </c>
      <c r="AA89" s="10">
        <v>-2334193</v>
      </c>
      <c r="AB89" s="10">
        <v>1703869</v>
      </c>
      <c r="AC89" s="10">
        <v>3639935</v>
      </c>
      <c r="AD89" s="10">
        <v>347291</v>
      </c>
      <c r="AE89" s="10">
        <v>1653675</v>
      </c>
      <c r="AF89" s="10">
        <v>71497</v>
      </c>
      <c r="AG89" s="10">
        <v>280530</v>
      </c>
      <c r="AH89" s="10">
        <v>343502</v>
      </c>
      <c r="AI89" s="10">
        <v>1429587</v>
      </c>
      <c r="AJ89" s="86">
        <v>-120876</v>
      </c>
      <c r="AK89" s="30">
        <v>-629039</v>
      </c>
      <c r="AL89" s="10">
        <v>190698</v>
      </c>
      <c r="AM89" s="10">
        <v>630251</v>
      </c>
      <c r="AN89" s="10">
        <v>303633</v>
      </c>
      <c r="AO89" s="10">
        <v>428756</v>
      </c>
      <c r="AP89" s="155">
        <v>2843263</v>
      </c>
      <c r="AQ89" s="155">
        <v>8041640</v>
      </c>
      <c r="AR89" s="10">
        <v>6329462</v>
      </c>
      <c r="AS89" s="10">
        <v>22937575</v>
      </c>
      <c r="AT89" s="10">
        <v>2623163</v>
      </c>
      <c r="AU89" s="10">
        <v>8171164</v>
      </c>
      <c r="AV89" s="10">
        <v>35421</v>
      </c>
      <c r="AW89" s="10">
        <v>110730</v>
      </c>
      <c r="AX89" s="10">
        <v>-635066</v>
      </c>
      <c r="AY89" s="10">
        <v>-2204377</v>
      </c>
      <c r="AZ89" s="10">
        <v>10227</v>
      </c>
      <c r="BA89" s="10">
        <v>-221701</v>
      </c>
      <c r="BB89" s="10">
        <v>523807</v>
      </c>
      <c r="BC89" s="10">
        <v>1516814</v>
      </c>
      <c r="BD89" s="10">
        <v>-426533</v>
      </c>
      <c r="BE89" s="10">
        <v>-1081599</v>
      </c>
      <c r="BF89" s="155"/>
      <c r="BG89" s="10"/>
      <c r="BH89" s="10">
        <v>262781</v>
      </c>
      <c r="BI89" s="10">
        <v>3404137</v>
      </c>
      <c r="BJ89" s="10">
        <v>193462</v>
      </c>
      <c r="BK89" s="10">
        <v>-302004</v>
      </c>
      <c r="BL89" s="10">
        <v>2959031</v>
      </c>
      <c r="BM89" s="10">
        <v>7647056</v>
      </c>
      <c r="BN89" s="10">
        <v>132039</v>
      </c>
      <c r="BO89" s="10">
        <v>504325</v>
      </c>
      <c r="BP89" s="82">
        <f t="shared" si="26"/>
        <v>18050913.109999999</v>
      </c>
      <c r="BQ89" s="82">
        <f t="shared" si="27"/>
        <v>55509002.189999998</v>
      </c>
    </row>
  </sheetData>
  <mergeCells count="374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H4:BI4"/>
    <mergeCell ref="BJ4:BK4"/>
    <mergeCell ref="BL4:BM4"/>
    <mergeCell ref="BN4:BO4"/>
    <mergeCell ref="BP4:BQ4"/>
    <mergeCell ref="B12:C12"/>
    <mergeCell ref="D12:E12"/>
    <mergeCell ref="F12:G12"/>
    <mergeCell ref="H12:I12"/>
    <mergeCell ref="J12:K12"/>
    <mergeCell ref="AX4:AY4"/>
    <mergeCell ref="AZ4:BA4"/>
    <mergeCell ref="BB4:BC4"/>
    <mergeCell ref="BD4:BE4"/>
    <mergeCell ref="BF4:BG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L12:BM12"/>
    <mergeCell ref="BN12:BO12"/>
    <mergeCell ref="BP12:BQ12"/>
    <mergeCell ref="AV12:AW12"/>
    <mergeCell ref="AX12:AY12"/>
    <mergeCell ref="AZ12:BA12"/>
    <mergeCell ref="BB12:BC12"/>
    <mergeCell ref="BD12:BE12"/>
    <mergeCell ref="R12:S12"/>
    <mergeCell ref="T12:U12"/>
    <mergeCell ref="V12:W12"/>
    <mergeCell ref="B20:C20"/>
    <mergeCell ref="D20:E20"/>
    <mergeCell ref="F20:G20"/>
    <mergeCell ref="H20:I20"/>
    <mergeCell ref="J20:K20"/>
    <mergeCell ref="L20:M20"/>
    <mergeCell ref="BF12:BG12"/>
    <mergeCell ref="BH12:BI12"/>
    <mergeCell ref="BJ12:BK12"/>
    <mergeCell ref="AJ12:AK12"/>
    <mergeCell ref="AL12:AM12"/>
    <mergeCell ref="AN12:AO12"/>
    <mergeCell ref="AP12:AQ12"/>
    <mergeCell ref="AR12:AS12"/>
    <mergeCell ref="AT12:AU12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H20:BI20"/>
    <mergeCell ref="BJ20:BK20"/>
    <mergeCell ref="BL20:BM20"/>
    <mergeCell ref="BN20:BO20"/>
    <mergeCell ref="BP20:BQ20"/>
    <mergeCell ref="B28:C28"/>
    <mergeCell ref="D28:E28"/>
    <mergeCell ref="F28:G28"/>
    <mergeCell ref="H28:I28"/>
    <mergeCell ref="J28:K28"/>
    <mergeCell ref="AX20:AY20"/>
    <mergeCell ref="AZ20:BA20"/>
    <mergeCell ref="BB20:BC20"/>
    <mergeCell ref="BD20:BE20"/>
    <mergeCell ref="BF20:BG20"/>
    <mergeCell ref="AL20:AM20"/>
    <mergeCell ref="AN20:AO20"/>
    <mergeCell ref="AP20:AQ20"/>
    <mergeCell ref="AR20:AS20"/>
    <mergeCell ref="AT20:AU20"/>
    <mergeCell ref="AV20:AW20"/>
    <mergeCell ref="Z20:AA20"/>
    <mergeCell ref="AB20:AC20"/>
    <mergeCell ref="AD20:AE20"/>
    <mergeCell ref="BL28:BM28"/>
    <mergeCell ref="BN28:BO28"/>
    <mergeCell ref="BP28:BQ28"/>
    <mergeCell ref="AV28:AW28"/>
    <mergeCell ref="AX28:AY28"/>
    <mergeCell ref="AZ28:BA28"/>
    <mergeCell ref="BB28:BC28"/>
    <mergeCell ref="BD28:BE28"/>
    <mergeCell ref="R28:S28"/>
    <mergeCell ref="T28:U28"/>
    <mergeCell ref="V28:W28"/>
    <mergeCell ref="B36:C36"/>
    <mergeCell ref="D36:E36"/>
    <mergeCell ref="F36:G36"/>
    <mergeCell ref="H36:I36"/>
    <mergeCell ref="J36:K36"/>
    <mergeCell ref="L36:M36"/>
    <mergeCell ref="BF28:BG28"/>
    <mergeCell ref="BH28:BI28"/>
    <mergeCell ref="BJ28:BK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BH36:BI36"/>
    <mergeCell ref="BJ36:BK36"/>
    <mergeCell ref="BL36:BM36"/>
    <mergeCell ref="BN36:BO36"/>
    <mergeCell ref="BP36:BQ36"/>
    <mergeCell ref="B44:C44"/>
    <mergeCell ref="D44:E44"/>
    <mergeCell ref="F44:G44"/>
    <mergeCell ref="H44:I44"/>
    <mergeCell ref="J44:K44"/>
    <mergeCell ref="AX36:AY36"/>
    <mergeCell ref="AZ36:BA36"/>
    <mergeCell ref="BB36:BC36"/>
    <mergeCell ref="BD36:BE36"/>
    <mergeCell ref="BF36:BG36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BL44:BM44"/>
    <mergeCell ref="BN44:BO44"/>
    <mergeCell ref="BP44:BQ44"/>
    <mergeCell ref="AV44:AW44"/>
    <mergeCell ref="AX44:AY44"/>
    <mergeCell ref="AZ44:BA44"/>
    <mergeCell ref="BB44:BC44"/>
    <mergeCell ref="BD44:BE44"/>
    <mergeCell ref="R44:S44"/>
    <mergeCell ref="T44:U44"/>
    <mergeCell ref="V44:W44"/>
    <mergeCell ref="B52:C52"/>
    <mergeCell ref="D52:E52"/>
    <mergeCell ref="F52:G52"/>
    <mergeCell ref="H52:I52"/>
    <mergeCell ref="J52:K52"/>
    <mergeCell ref="L52:M52"/>
    <mergeCell ref="BF44:BG44"/>
    <mergeCell ref="BH44:BI44"/>
    <mergeCell ref="BJ44:BK44"/>
    <mergeCell ref="AJ44:AK44"/>
    <mergeCell ref="AL44:AM44"/>
    <mergeCell ref="AN44:AO44"/>
    <mergeCell ref="AP44:AQ44"/>
    <mergeCell ref="AR44:AS44"/>
    <mergeCell ref="AT44:AU44"/>
    <mergeCell ref="X44:Y44"/>
    <mergeCell ref="Z44:AA44"/>
    <mergeCell ref="AB44:AC44"/>
    <mergeCell ref="AD44:AE44"/>
    <mergeCell ref="AF44:AG44"/>
    <mergeCell ref="AH44:AI44"/>
    <mergeCell ref="L44:M44"/>
    <mergeCell ref="N44:O44"/>
    <mergeCell ref="P44:Q44"/>
    <mergeCell ref="AF52:AG52"/>
    <mergeCell ref="AH52:AI52"/>
    <mergeCell ref="AJ52:AK52"/>
    <mergeCell ref="N52:O52"/>
    <mergeCell ref="P52:Q52"/>
    <mergeCell ref="R52:S52"/>
    <mergeCell ref="T52:U52"/>
    <mergeCell ref="V52:W52"/>
    <mergeCell ref="X52:Y52"/>
    <mergeCell ref="BH52:BI52"/>
    <mergeCell ref="BJ52:BK52"/>
    <mergeCell ref="BL52:BM52"/>
    <mergeCell ref="BN52:BO52"/>
    <mergeCell ref="BP52:BQ52"/>
    <mergeCell ref="B60:C60"/>
    <mergeCell ref="D60:E60"/>
    <mergeCell ref="F60:G60"/>
    <mergeCell ref="H60:I60"/>
    <mergeCell ref="J60:K60"/>
    <mergeCell ref="AX52:AY52"/>
    <mergeCell ref="AZ52:BA52"/>
    <mergeCell ref="BB52:BC52"/>
    <mergeCell ref="BD52:BE52"/>
    <mergeCell ref="BF52:BG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BL60:BM60"/>
    <mergeCell ref="BN60:BO60"/>
    <mergeCell ref="BP60:BQ60"/>
    <mergeCell ref="AV60:AW60"/>
    <mergeCell ref="AX60:AY60"/>
    <mergeCell ref="AZ60:BA60"/>
    <mergeCell ref="BB60:BC60"/>
    <mergeCell ref="BD60:BE60"/>
    <mergeCell ref="R60:S60"/>
    <mergeCell ref="T60:U60"/>
    <mergeCell ref="V60:W60"/>
    <mergeCell ref="D76:E76"/>
    <mergeCell ref="F76:G76"/>
    <mergeCell ref="H76:I76"/>
    <mergeCell ref="J76:K76"/>
    <mergeCell ref="L76:M76"/>
    <mergeCell ref="BF60:BG60"/>
    <mergeCell ref="BH60:BI60"/>
    <mergeCell ref="BJ60:BK60"/>
    <mergeCell ref="AJ60:AK60"/>
    <mergeCell ref="AL60:AM60"/>
    <mergeCell ref="AN60:AO60"/>
    <mergeCell ref="AP60:AQ60"/>
    <mergeCell ref="AR60:AS60"/>
    <mergeCell ref="AT60:AU60"/>
    <mergeCell ref="X60:Y60"/>
    <mergeCell ref="Z60:AA60"/>
    <mergeCell ref="AB60:AC60"/>
    <mergeCell ref="AD60:AE60"/>
    <mergeCell ref="AF60:AG60"/>
    <mergeCell ref="AH60:AI60"/>
    <mergeCell ref="L60:M60"/>
    <mergeCell ref="N60:O60"/>
    <mergeCell ref="P60:Q60"/>
    <mergeCell ref="T68:U68"/>
    <mergeCell ref="BN76:BO76"/>
    <mergeCell ref="BP76:BQ76"/>
    <mergeCell ref="B84:C84"/>
    <mergeCell ref="D84:E84"/>
    <mergeCell ref="F84:G84"/>
    <mergeCell ref="H84:I84"/>
    <mergeCell ref="J84:K84"/>
    <mergeCell ref="AX76:AY76"/>
    <mergeCell ref="AZ76:BA76"/>
    <mergeCell ref="BB76:BC76"/>
    <mergeCell ref="BD76:BE76"/>
    <mergeCell ref="BF76:BG76"/>
    <mergeCell ref="AL76:AM76"/>
    <mergeCell ref="AN76:AO76"/>
    <mergeCell ref="AP76:AQ76"/>
    <mergeCell ref="AR76:AS76"/>
    <mergeCell ref="AT76:AU76"/>
    <mergeCell ref="AV76:AW76"/>
    <mergeCell ref="Z76:AA76"/>
    <mergeCell ref="AB76:AC76"/>
    <mergeCell ref="AD76:AE76"/>
    <mergeCell ref="AF76:AG76"/>
    <mergeCell ref="AH76:AI76"/>
    <mergeCell ref="B76:C76"/>
    <mergeCell ref="L84:M84"/>
    <mergeCell ref="N84:O84"/>
    <mergeCell ref="P84:Q84"/>
    <mergeCell ref="R84:S84"/>
    <mergeCell ref="T84:U84"/>
    <mergeCell ref="V84:W84"/>
    <mergeCell ref="BH76:BI76"/>
    <mergeCell ref="BJ76:BK76"/>
    <mergeCell ref="BL76:BM76"/>
    <mergeCell ref="AJ76:AK76"/>
    <mergeCell ref="N76:O76"/>
    <mergeCell ref="P76:Q76"/>
    <mergeCell ref="R76:S76"/>
    <mergeCell ref="T76:U76"/>
    <mergeCell ref="V76:W76"/>
    <mergeCell ref="X76:Y76"/>
    <mergeCell ref="AJ84:AK84"/>
    <mergeCell ref="AL84:AM84"/>
    <mergeCell ref="AN84:AO84"/>
    <mergeCell ref="AP84:AQ84"/>
    <mergeCell ref="AR84:AS84"/>
    <mergeCell ref="AT84:AU84"/>
    <mergeCell ref="X84:Y84"/>
    <mergeCell ref="Z84:AA84"/>
    <mergeCell ref="BP84:BQ84"/>
    <mergeCell ref="AV84:AW84"/>
    <mergeCell ref="AX84:AY84"/>
    <mergeCell ref="AZ84:BA84"/>
    <mergeCell ref="BB84:BC84"/>
    <mergeCell ref="BD84:BE84"/>
    <mergeCell ref="AB84:AC84"/>
    <mergeCell ref="AD84:AE84"/>
    <mergeCell ref="AF84:AG84"/>
    <mergeCell ref="AH84:AI84"/>
    <mergeCell ref="BF84:BG84"/>
    <mergeCell ref="BH84:BI84"/>
    <mergeCell ref="BJ84:BK84"/>
    <mergeCell ref="BL84:BM84"/>
    <mergeCell ref="BN84:BO84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BB68:BC68"/>
    <mergeCell ref="BD68:BE68"/>
    <mergeCell ref="BF68:BG68"/>
    <mergeCell ref="BH68:BI68"/>
    <mergeCell ref="BJ68:BK68"/>
    <mergeCell ref="BL68:BM68"/>
    <mergeCell ref="BN68:BO68"/>
    <mergeCell ref="BP68:BQ68"/>
    <mergeCell ref="AL68:AM68"/>
    <mergeCell ref="AN68:AO68"/>
    <mergeCell ref="AP68:AQ68"/>
    <mergeCell ref="AR68:AS68"/>
    <mergeCell ref="AT68:AU68"/>
    <mergeCell ref="AV68:AW68"/>
    <mergeCell ref="AX68:AY68"/>
    <mergeCell ref="AZ68:BA6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" customWidth="1"/>
    <col min="2" max="35" width="16" style="7" customWidth="1"/>
    <col min="36" max="36" width="16" style="8" customWidth="1"/>
    <col min="37" max="69" width="16" style="7" customWidth="1"/>
    <col min="70" max="16384" width="9.140625" style="7"/>
  </cols>
  <sheetData>
    <row r="1" spans="1:69" ht="18.75" x14ac:dyDescent="0.3">
      <c r="A1" s="5" t="s">
        <v>214</v>
      </c>
    </row>
    <row r="2" spans="1:69" x14ac:dyDescent="0.25">
      <c r="A2" s="6" t="s">
        <v>46</v>
      </c>
    </row>
    <row r="3" spans="1:69" x14ac:dyDescent="0.25">
      <c r="A3" s="1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295</v>
      </c>
      <c r="I3" s="112"/>
      <c r="J3" s="111" t="s">
        <v>5</v>
      </c>
      <c r="K3" s="112"/>
      <c r="L3" s="111" t="s">
        <v>6</v>
      </c>
      <c r="M3" s="112"/>
      <c r="N3" s="111" t="s">
        <v>7</v>
      </c>
      <c r="O3" s="112"/>
      <c r="P3" s="111" t="s">
        <v>309</v>
      </c>
      <c r="Q3" s="112"/>
      <c r="R3" s="111" t="s">
        <v>9</v>
      </c>
      <c r="S3" s="112"/>
      <c r="T3" s="111" t="s">
        <v>10</v>
      </c>
      <c r="U3" s="112"/>
      <c r="V3" s="111" t="s">
        <v>11</v>
      </c>
      <c r="W3" s="112"/>
      <c r="X3" s="111" t="s">
        <v>12</v>
      </c>
      <c r="Y3" s="112"/>
      <c r="Z3" s="111" t="s">
        <v>13</v>
      </c>
      <c r="AA3" s="112"/>
      <c r="AB3" s="111" t="s">
        <v>14</v>
      </c>
      <c r="AC3" s="112"/>
      <c r="AD3" s="111" t="s">
        <v>15</v>
      </c>
      <c r="AE3" s="112"/>
      <c r="AF3" s="111" t="s">
        <v>16</v>
      </c>
      <c r="AG3" s="112"/>
      <c r="AH3" s="111" t="s">
        <v>17</v>
      </c>
      <c r="AI3" s="112"/>
      <c r="AJ3" s="111" t="s">
        <v>18</v>
      </c>
      <c r="AK3" s="112"/>
      <c r="AL3" s="111" t="s">
        <v>293</v>
      </c>
      <c r="AM3" s="112"/>
      <c r="AN3" s="111" t="s">
        <v>19</v>
      </c>
      <c r="AO3" s="112"/>
      <c r="AP3" s="111" t="s">
        <v>20</v>
      </c>
      <c r="AQ3" s="112"/>
      <c r="AR3" s="111" t="s">
        <v>21</v>
      </c>
      <c r="AS3" s="112"/>
      <c r="AT3" s="111" t="s">
        <v>22</v>
      </c>
      <c r="AU3" s="112"/>
      <c r="AV3" s="111" t="s">
        <v>23</v>
      </c>
      <c r="AW3" s="112"/>
      <c r="AX3" s="111" t="s">
        <v>24</v>
      </c>
      <c r="AY3" s="112"/>
      <c r="AZ3" s="111" t="s">
        <v>25</v>
      </c>
      <c r="BA3" s="112"/>
      <c r="BB3" s="111" t="s">
        <v>26</v>
      </c>
      <c r="BC3" s="112"/>
      <c r="BD3" s="111" t="s">
        <v>27</v>
      </c>
      <c r="BE3" s="112"/>
      <c r="BF3" s="111" t="s">
        <v>28</v>
      </c>
      <c r="BG3" s="112"/>
      <c r="BH3" s="111" t="s">
        <v>29</v>
      </c>
      <c r="BI3" s="112"/>
      <c r="BJ3" s="111" t="s">
        <v>30</v>
      </c>
      <c r="BK3" s="112"/>
      <c r="BL3" s="115" t="s">
        <v>31</v>
      </c>
      <c r="BM3" s="116"/>
      <c r="BN3" s="111" t="s">
        <v>32</v>
      </c>
      <c r="BO3" s="112"/>
      <c r="BP3" s="113" t="s">
        <v>33</v>
      </c>
      <c r="BQ3" s="114"/>
    </row>
    <row r="4" spans="1:69" ht="30" x14ac:dyDescent="0.25">
      <c r="A4" s="1"/>
      <c r="B4" s="66" t="s">
        <v>298</v>
      </c>
      <c r="C4" s="67" t="s">
        <v>299</v>
      </c>
      <c r="D4" s="66" t="s">
        <v>298</v>
      </c>
      <c r="E4" s="67" t="s">
        <v>299</v>
      </c>
      <c r="F4" s="66" t="s">
        <v>298</v>
      </c>
      <c r="G4" s="67" t="s">
        <v>299</v>
      </c>
      <c r="H4" s="66" t="s">
        <v>298</v>
      </c>
      <c r="I4" s="67" t="s">
        <v>299</v>
      </c>
      <c r="J4" s="66" t="s">
        <v>298</v>
      </c>
      <c r="K4" s="67" t="s">
        <v>299</v>
      </c>
      <c r="L4" s="66" t="s">
        <v>298</v>
      </c>
      <c r="M4" s="67" t="s">
        <v>299</v>
      </c>
      <c r="N4" s="66" t="s">
        <v>298</v>
      </c>
      <c r="O4" s="67" t="s">
        <v>299</v>
      </c>
      <c r="P4" s="66" t="s">
        <v>298</v>
      </c>
      <c r="Q4" s="67" t="s">
        <v>299</v>
      </c>
      <c r="R4" s="66" t="s">
        <v>298</v>
      </c>
      <c r="S4" s="67" t="s">
        <v>299</v>
      </c>
      <c r="T4" s="66" t="s">
        <v>298</v>
      </c>
      <c r="U4" s="67" t="s">
        <v>299</v>
      </c>
      <c r="V4" s="66" t="s">
        <v>298</v>
      </c>
      <c r="W4" s="67" t="s">
        <v>299</v>
      </c>
      <c r="X4" s="66" t="s">
        <v>298</v>
      </c>
      <c r="Y4" s="67" t="s">
        <v>299</v>
      </c>
      <c r="Z4" s="66" t="s">
        <v>298</v>
      </c>
      <c r="AA4" s="67" t="s">
        <v>299</v>
      </c>
      <c r="AB4" s="66" t="s">
        <v>298</v>
      </c>
      <c r="AC4" s="67" t="s">
        <v>299</v>
      </c>
      <c r="AD4" s="66" t="s">
        <v>298</v>
      </c>
      <c r="AE4" s="67" t="s">
        <v>299</v>
      </c>
      <c r="AF4" s="66" t="s">
        <v>298</v>
      </c>
      <c r="AG4" s="67" t="s">
        <v>299</v>
      </c>
      <c r="AH4" s="66" t="s">
        <v>298</v>
      </c>
      <c r="AI4" s="67" t="s">
        <v>299</v>
      </c>
      <c r="AJ4" s="66" t="s">
        <v>298</v>
      </c>
      <c r="AK4" s="67" t="s">
        <v>299</v>
      </c>
      <c r="AL4" s="66" t="s">
        <v>298</v>
      </c>
      <c r="AM4" s="67" t="s">
        <v>299</v>
      </c>
      <c r="AN4" s="66" t="s">
        <v>298</v>
      </c>
      <c r="AO4" s="67" t="s">
        <v>299</v>
      </c>
      <c r="AP4" s="66" t="s">
        <v>298</v>
      </c>
      <c r="AQ4" s="67" t="s">
        <v>299</v>
      </c>
      <c r="AR4" s="66" t="s">
        <v>298</v>
      </c>
      <c r="AS4" s="67" t="s">
        <v>299</v>
      </c>
      <c r="AT4" s="66" t="s">
        <v>298</v>
      </c>
      <c r="AU4" s="67" t="s">
        <v>299</v>
      </c>
      <c r="AV4" s="66" t="s">
        <v>298</v>
      </c>
      <c r="AW4" s="67" t="s">
        <v>299</v>
      </c>
      <c r="AX4" s="66" t="s">
        <v>298</v>
      </c>
      <c r="AY4" s="67" t="s">
        <v>299</v>
      </c>
      <c r="AZ4" s="66" t="s">
        <v>298</v>
      </c>
      <c r="BA4" s="67" t="s">
        <v>299</v>
      </c>
      <c r="BB4" s="66" t="s">
        <v>298</v>
      </c>
      <c r="BC4" s="67" t="s">
        <v>299</v>
      </c>
      <c r="BD4" s="66" t="s">
        <v>298</v>
      </c>
      <c r="BE4" s="67" t="s">
        <v>299</v>
      </c>
      <c r="BF4" s="66" t="s">
        <v>298</v>
      </c>
      <c r="BG4" s="67" t="s">
        <v>299</v>
      </c>
      <c r="BH4" s="66" t="s">
        <v>298</v>
      </c>
      <c r="BI4" s="67" t="s">
        <v>299</v>
      </c>
      <c r="BJ4" s="66" t="s">
        <v>298</v>
      </c>
      <c r="BK4" s="67" t="s">
        <v>299</v>
      </c>
      <c r="BL4" s="66" t="s">
        <v>298</v>
      </c>
      <c r="BM4" s="67" t="s">
        <v>299</v>
      </c>
      <c r="BN4" s="66" t="s">
        <v>298</v>
      </c>
      <c r="BO4" s="67" t="s">
        <v>299</v>
      </c>
      <c r="BP4" s="66" t="s">
        <v>298</v>
      </c>
      <c r="BQ4" s="67" t="s">
        <v>299</v>
      </c>
    </row>
    <row r="5" spans="1:69" x14ac:dyDescent="0.25">
      <c r="A5" s="26" t="s">
        <v>215</v>
      </c>
      <c r="B5" s="10">
        <v>133159</v>
      </c>
      <c r="C5" s="10">
        <v>475664</v>
      </c>
      <c r="D5" s="10">
        <v>945829</v>
      </c>
      <c r="E5" s="10">
        <v>2668678</v>
      </c>
      <c r="F5" s="10">
        <v>154339</v>
      </c>
      <c r="G5" s="10">
        <v>592287</v>
      </c>
      <c r="H5" s="10">
        <v>659907</v>
      </c>
      <c r="I5" s="10">
        <v>2623066</v>
      </c>
      <c r="J5" s="10">
        <v>2139627</v>
      </c>
      <c r="K5" s="10">
        <v>9561932</v>
      </c>
      <c r="L5" s="10">
        <v>443857</v>
      </c>
      <c r="M5" s="10">
        <v>2026333</v>
      </c>
      <c r="N5" s="10">
        <v>273321</v>
      </c>
      <c r="O5" s="10">
        <v>1343138</v>
      </c>
      <c r="P5" s="10">
        <v>108011</v>
      </c>
      <c r="Q5" s="10">
        <v>427191</v>
      </c>
      <c r="R5" s="10">
        <v>154249</v>
      </c>
      <c r="S5" s="10">
        <v>425909</v>
      </c>
      <c r="T5" s="10">
        <v>759986.73</v>
      </c>
      <c r="U5" s="10">
        <v>1642523.35</v>
      </c>
      <c r="V5" s="10">
        <v>582936</v>
      </c>
      <c r="W5" s="10">
        <v>2164857</v>
      </c>
      <c r="X5" s="10">
        <v>236770</v>
      </c>
      <c r="Y5" s="10">
        <v>1212740</v>
      </c>
      <c r="Z5" s="10">
        <v>1002288</v>
      </c>
      <c r="AA5" s="10">
        <v>3781204</v>
      </c>
      <c r="AB5" s="10">
        <v>1721938</v>
      </c>
      <c r="AC5" s="10">
        <v>6796890</v>
      </c>
      <c r="AD5" s="10">
        <v>710143</v>
      </c>
      <c r="AE5" s="10">
        <v>3044800</v>
      </c>
      <c r="AF5" s="10">
        <v>136810</v>
      </c>
      <c r="AG5" s="10">
        <v>573489</v>
      </c>
      <c r="AH5" s="10">
        <v>298969</v>
      </c>
      <c r="AI5" s="10">
        <v>1301787</v>
      </c>
      <c r="AJ5" s="86">
        <v>259719</v>
      </c>
      <c r="AK5" s="10">
        <v>1052012</v>
      </c>
      <c r="AL5" s="10">
        <v>348395</v>
      </c>
      <c r="AM5" s="10">
        <v>1379387</v>
      </c>
      <c r="AN5" s="10">
        <v>592611</v>
      </c>
      <c r="AO5" s="10">
        <v>1910948</v>
      </c>
      <c r="AP5" s="10">
        <v>15275476</v>
      </c>
      <c r="AQ5" s="10">
        <v>35436153</v>
      </c>
      <c r="AR5" s="10">
        <v>7003685</v>
      </c>
      <c r="AS5" s="10">
        <v>26912882</v>
      </c>
      <c r="AT5" s="10">
        <v>13353806</v>
      </c>
      <c r="AU5" s="10">
        <v>29978863</v>
      </c>
      <c r="AV5" s="10">
        <v>66663</v>
      </c>
      <c r="AW5" s="10">
        <v>263722</v>
      </c>
      <c r="AX5" s="10">
        <v>988101</v>
      </c>
      <c r="AY5" s="10">
        <v>3957442</v>
      </c>
      <c r="AZ5" s="10">
        <v>938238</v>
      </c>
      <c r="BA5" s="10">
        <v>3450888</v>
      </c>
      <c r="BB5" s="10">
        <v>448914</v>
      </c>
      <c r="BC5" s="10">
        <v>1831778</v>
      </c>
      <c r="BD5" s="10">
        <v>886933</v>
      </c>
      <c r="BE5" s="10">
        <v>3360438</v>
      </c>
      <c r="BF5" s="36">
        <v>250752</v>
      </c>
      <c r="BG5" s="36">
        <v>998623</v>
      </c>
      <c r="BH5" s="10">
        <v>2552712</v>
      </c>
      <c r="BI5" s="10">
        <v>8526457</v>
      </c>
      <c r="BJ5" s="10">
        <v>994872</v>
      </c>
      <c r="BK5" s="10">
        <v>4343098</v>
      </c>
      <c r="BL5" s="10">
        <v>8877739</v>
      </c>
      <c r="BM5" s="10">
        <v>26935805</v>
      </c>
      <c r="BN5" s="10">
        <v>214422</v>
      </c>
      <c r="BO5" s="10">
        <v>746171</v>
      </c>
      <c r="BP5" s="82">
        <f>B5+D5+F5+H5+J5+L5+N5+P5+R5+T5+V5+X5+Z5+AB5+AD5+AF5+AH5+AJ5+AL5+AN5+AP5+AR5+AT5+AV5+AX5+AZ5+BB5+BD5+BF5+BH5+BJ5+BL5+BN5</f>
        <v>63515177.730000004</v>
      </c>
      <c r="BQ5" s="82">
        <f>C5+E5+G5+I5+K5+M5+O5+Q5+S5+U5+W5+Y5+AA5+AC5+AE5+AG5+AI5+AK5+AM5+AO5+AQ5+AS5+AU5+AW5+AY5+BA5+BC5+BE5+BG5+BI5+BK5+BM5+BO5</f>
        <v>191747155.34999999</v>
      </c>
    </row>
    <row r="6" spans="1:69" x14ac:dyDescent="0.25">
      <c r="A6" s="26" t="s">
        <v>216</v>
      </c>
      <c r="B6" s="10">
        <v>4054</v>
      </c>
      <c r="C6" s="10">
        <v>20668</v>
      </c>
      <c r="D6" s="10">
        <v>37870</v>
      </c>
      <c r="E6" s="10">
        <v>143457</v>
      </c>
      <c r="F6" s="10">
        <v>12014</v>
      </c>
      <c r="G6" s="10">
        <v>36263</v>
      </c>
      <c r="H6" s="10">
        <v>41778</v>
      </c>
      <c r="I6" s="10">
        <v>143761</v>
      </c>
      <c r="J6" s="10">
        <v>83803</v>
      </c>
      <c r="K6" s="10">
        <v>398840</v>
      </c>
      <c r="L6" s="10">
        <v>34110</v>
      </c>
      <c r="M6" s="10">
        <v>144321</v>
      </c>
      <c r="N6" s="10">
        <v>34435</v>
      </c>
      <c r="O6" s="10">
        <v>127305</v>
      </c>
      <c r="P6" s="10">
        <v>1969</v>
      </c>
      <c r="Q6" s="10">
        <v>7519</v>
      </c>
      <c r="R6" s="10">
        <v>3261</v>
      </c>
      <c r="S6" s="10">
        <v>12925</v>
      </c>
      <c r="T6" s="10">
        <v>32293.43</v>
      </c>
      <c r="U6" s="10">
        <v>115545.02</v>
      </c>
      <c r="V6" s="10">
        <v>20288</v>
      </c>
      <c r="W6" s="10">
        <v>97806</v>
      </c>
      <c r="X6" s="10">
        <v>11771</v>
      </c>
      <c r="Y6" s="10">
        <v>71734</v>
      </c>
      <c r="Z6" s="10">
        <v>77360</v>
      </c>
      <c r="AA6" s="10">
        <v>285178</v>
      </c>
      <c r="AB6" s="10">
        <v>145230</v>
      </c>
      <c r="AC6" s="10">
        <v>607269</v>
      </c>
      <c r="AD6" s="10">
        <v>66928</v>
      </c>
      <c r="AE6" s="10">
        <v>273204</v>
      </c>
      <c r="AF6" s="10">
        <v>9070</v>
      </c>
      <c r="AG6" s="10">
        <v>30554</v>
      </c>
      <c r="AH6" s="10">
        <v>25139</v>
      </c>
      <c r="AI6" s="10">
        <v>111638</v>
      </c>
      <c r="AJ6" s="86">
        <v>13551</v>
      </c>
      <c r="AK6" s="10">
        <v>64910</v>
      </c>
      <c r="AL6" s="10">
        <v>9353</v>
      </c>
      <c r="AM6" s="10">
        <v>51922</v>
      </c>
      <c r="AN6" s="10">
        <v>27061</v>
      </c>
      <c r="AO6" s="10">
        <v>85765</v>
      </c>
      <c r="AP6" s="10">
        <v>111692</v>
      </c>
      <c r="AQ6" s="10">
        <v>440631</v>
      </c>
      <c r="AR6" s="10">
        <v>173849</v>
      </c>
      <c r="AS6" s="10">
        <v>599111</v>
      </c>
      <c r="AT6" s="10">
        <v>109711</v>
      </c>
      <c r="AU6" s="10">
        <v>395682</v>
      </c>
      <c r="AV6" s="10">
        <v>4064</v>
      </c>
      <c r="AW6" s="10">
        <v>9072</v>
      </c>
      <c r="AX6" s="10">
        <v>38899</v>
      </c>
      <c r="AY6" s="10">
        <v>190113</v>
      </c>
      <c r="AZ6" s="10">
        <v>45908</v>
      </c>
      <c r="BA6" s="10">
        <v>262815</v>
      </c>
      <c r="BB6" s="10">
        <v>28246</v>
      </c>
      <c r="BC6" s="10">
        <v>90581</v>
      </c>
      <c r="BD6" s="10">
        <v>125226</v>
      </c>
      <c r="BE6" s="10">
        <v>436915</v>
      </c>
      <c r="BF6" s="36">
        <v>39434</v>
      </c>
      <c r="BG6" s="36">
        <v>146272</v>
      </c>
      <c r="BH6" s="10">
        <v>81771</v>
      </c>
      <c r="BI6" s="10">
        <v>284429</v>
      </c>
      <c r="BJ6" s="10">
        <v>38821</v>
      </c>
      <c r="BK6" s="10">
        <v>216169</v>
      </c>
      <c r="BL6" s="10">
        <v>145084</v>
      </c>
      <c r="BM6" s="10">
        <v>534493</v>
      </c>
      <c r="BN6" s="10">
        <v>22763</v>
      </c>
      <c r="BO6" s="10">
        <v>67185</v>
      </c>
      <c r="BP6" s="82">
        <f t="shared" ref="BP6:BP18" si="0">B6+D6+F6+H6+J6+L6+N6+P6+R6+T6+V6+X6+Z6+AB6+AD6+AF6+AH6+AJ6+AL6+AN6+AP6+AR6+AT6+AV6+AX6+AZ6+BB6+BD6+BF6+BH6+BJ6+BL6+BN6</f>
        <v>1656806.43</v>
      </c>
      <c r="BQ6" s="82">
        <f t="shared" ref="BQ6:BQ18" si="1">C6+E6+G6+I6+K6+M6+O6+Q6+S6+U6+W6+Y6+AA6+AC6+AE6+AG6+AI6+AK6+AM6+AO6+AQ6+AS6+AU6+AW6+AY6+BA6+BC6+BE6+BG6+BI6+BK6+BM6+BO6</f>
        <v>6504052.0199999996</v>
      </c>
    </row>
    <row r="7" spans="1:69" x14ac:dyDescent="0.25">
      <c r="A7" s="26" t="s">
        <v>217</v>
      </c>
      <c r="B7" s="10">
        <v>100</v>
      </c>
      <c r="C7" s="10">
        <v>348</v>
      </c>
      <c r="D7" s="10">
        <v>23759</v>
      </c>
      <c r="E7" s="10">
        <v>83466</v>
      </c>
      <c r="F7" s="10">
        <v>1467</v>
      </c>
      <c r="G7" s="10">
        <v>2343</v>
      </c>
      <c r="H7" s="10">
        <v>4766</v>
      </c>
      <c r="I7" s="10">
        <v>14145</v>
      </c>
      <c r="J7" s="10">
        <v>4439</v>
      </c>
      <c r="K7" s="10">
        <v>15190</v>
      </c>
      <c r="L7" s="10">
        <v>10334</v>
      </c>
      <c r="M7" s="10">
        <v>33655</v>
      </c>
      <c r="N7" s="10">
        <v>3661</v>
      </c>
      <c r="O7" s="10">
        <v>29216</v>
      </c>
      <c r="P7" s="10">
        <v>5156</v>
      </c>
      <c r="Q7" s="10">
        <v>19385</v>
      </c>
      <c r="R7" s="10">
        <v>-5578</v>
      </c>
      <c r="S7" s="10">
        <v>3626</v>
      </c>
      <c r="T7" s="10">
        <v>1948.54</v>
      </c>
      <c r="U7" s="10">
        <v>8828.23</v>
      </c>
      <c r="V7" s="10">
        <v>67772</v>
      </c>
      <c r="W7" s="10">
        <v>230441</v>
      </c>
      <c r="X7" s="10">
        <v>8877</v>
      </c>
      <c r="Y7" s="10">
        <v>41738</v>
      </c>
      <c r="Z7" s="10">
        <v>161630</v>
      </c>
      <c r="AA7" s="10">
        <v>738277</v>
      </c>
      <c r="AB7" s="10">
        <v>27413</v>
      </c>
      <c r="AC7" s="10">
        <v>106567</v>
      </c>
      <c r="AD7" s="10">
        <v>3594</v>
      </c>
      <c r="AE7" s="10">
        <v>17178</v>
      </c>
      <c r="AF7" s="10">
        <v>10343</v>
      </c>
      <c r="AG7" s="10">
        <v>15030</v>
      </c>
      <c r="AH7" s="10">
        <v>28808</v>
      </c>
      <c r="AI7" s="10">
        <v>143883</v>
      </c>
      <c r="AJ7" s="86">
        <v>463</v>
      </c>
      <c r="AK7" s="10">
        <v>5348</v>
      </c>
      <c r="AL7" s="10">
        <v>49733</v>
      </c>
      <c r="AM7" s="10">
        <v>134690</v>
      </c>
      <c r="AN7" s="10">
        <v>19282</v>
      </c>
      <c r="AO7" s="10">
        <v>66154</v>
      </c>
      <c r="AP7" s="10">
        <v>14687</v>
      </c>
      <c r="AQ7" s="10">
        <v>48093</v>
      </c>
      <c r="AR7" s="10">
        <v>-56061</v>
      </c>
      <c r="AS7" s="10">
        <v>95587</v>
      </c>
      <c r="AT7" s="10">
        <v>13814</v>
      </c>
      <c r="AU7" s="10">
        <v>54160</v>
      </c>
      <c r="AV7" s="10"/>
      <c r="AW7" s="10"/>
      <c r="AX7" s="10"/>
      <c r="AY7" s="10"/>
      <c r="AZ7" s="10">
        <v>90049</v>
      </c>
      <c r="BA7" s="10">
        <v>110393</v>
      </c>
      <c r="BB7" s="10">
        <v>3652</v>
      </c>
      <c r="BC7" s="10">
        <v>16603</v>
      </c>
      <c r="BD7" s="10">
        <v>7960</v>
      </c>
      <c r="BE7" s="10">
        <v>37936</v>
      </c>
      <c r="BF7" s="36">
        <v>6155</v>
      </c>
      <c r="BG7" s="36">
        <v>14258</v>
      </c>
      <c r="BH7" s="10">
        <v>670</v>
      </c>
      <c r="BI7" s="10">
        <v>54828</v>
      </c>
      <c r="BJ7" s="10">
        <v>17579</v>
      </c>
      <c r="BK7" s="10">
        <v>156902</v>
      </c>
      <c r="BL7" s="10">
        <v>13100</v>
      </c>
      <c r="BM7" s="10">
        <v>49162</v>
      </c>
      <c r="BN7" s="10">
        <v>482</v>
      </c>
      <c r="BO7" s="10">
        <v>2220</v>
      </c>
      <c r="BP7" s="82">
        <f t="shared" si="0"/>
        <v>540054.54</v>
      </c>
      <c r="BQ7" s="82">
        <f t="shared" si="1"/>
        <v>2349650.23</v>
      </c>
    </row>
    <row r="8" spans="1:69" x14ac:dyDescent="0.25">
      <c r="A8" s="26" t="s">
        <v>218</v>
      </c>
      <c r="B8" s="10">
        <v>13882</v>
      </c>
      <c r="C8" s="10">
        <v>46270</v>
      </c>
      <c r="D8" s="10">
        <v>33451</v>
      </c>
      <c r="E8" s="10">
        <v>139369</v>
      </c>
      <c r="F8" s="10">
        <v>20179</v>
      </c>
      <c r="G8" s="10">
        <v>79760</v>
      </c>
      <c r="H8" s="10">
        <v>41831</v>
      </c>
      <c r="I8" s="10">
        <v>166628</v>
      </c>
      <c r="J8" s="10">
        <v>93095</v>
      </c>
      <c r="K8" s="10">
        <v>372074</v>
      </c>
      <c r="L8" s="10">
        <v>1170</v>
      </c>
      <c r="M8" s="10">
        <v>193808</v>
      </c>
      <c r="N8" s="10">
        <v>35206</v>
      </c>
      <c r="O8" s="10">
        <v>123678</v>
      </c>
      <c r="P8" s="10">
        <v>16908</v>
      </c>
      <c r="Q8" s="10">
        <v>65958</v>
      </c>
      <c r="R8" s="10">
        <v>20706</v>
      </c>
      <c r="S8" s="10">
        <v>54914</v>
      </c>
      <c r="T8" s="10">
        <v>66021.919999999998</v>
      </c>
      <c r="U8" s="10">
        <v>265686.07</v>
      </c>
      <c r="V8" s="10">
        <v>55870</v>
      </c>
      <c r="W8" s="10">
        <v>227718</v>
      </c>
      <c r="X8" s="10">
        <v>10795</v>
      </c>
      <c r="Y8" s="10">
        <v>46336</v>
      </c>
      <c r="Z8" s="10">
        <v>99831</v>
      </c>
      <c r="AA8" s="10">
        <v>371585</v>
      </c>
      <c r="AB8" s="10">
        <v>173344</v>
      </c>
      <c r="AC8" s="10">
        <v>979445</v>
      </c>
      <c r="AD8" s="10">
        <v>108785</v>
      </c>
      <c r="AE8" s="10">
        <v>429456</v>
      </c>
      <c r="AF8" s="10">
        <v>20203</v>
      </c>
      <c r="AG8" s="10">
        <v>79021</v>
      </c>
      <c r="AH8" s="10">
        <v>34644</v>
      </c>
      <c r="AI8" s="10">
        <v>153442</v>
      </c>
      <c r="AJ8" s="86">
        <v>17743</v>
      </c>
      <c r="AK8" s="10">
        <v>67941</v>
      </c>
      <c r="AL8" s="10">
        <v>15908</v>
      </c>
      <c r="AM8" s="10">
        <v>82799</v>
      </c>
      <c r="AN8" s="10">
        <v>34215</v>
      </c>
      <c r="AO8" s="10">
        <v>148299</v>
      </c>
      <c r="AP8" s="10">
        <v>287281</v>
      </c>
      <c r="AQ8" s="10">
        <v>984630</v>
      </c>
      <c r="AR8" s="10">
        <v>461285</v>
      </c>
      <c r="AS8" s="10">
        <v>1480071</v>
      </c>
      <c r="AT8" s="10">
        <v>249030</v>
      </c>
      <c r="AU8" s="10">
        <v>870941</v>
      </c>
      <c r="AV8" s="10">
        <v>-7537</v>
      </c>
      <c r="AW8" s="10">
        <v>11927</v>
      </c>
      <c r="AX8" s="10">
        <v>45165</v>
      </c>
      <c r="AY8" s="10">
        <v>226826</v>
      </c>
      <c r="AZ8" s="10">
        <v>41187</v>
      </c>
      <c r="BA8" s="10">
        <v>146294</v>
      </c>
      <c r="BB8" s="10">
        <v>42483</v>
      </c>
      <c r="BC8" s="10">
        <v>173200</v>
      </c>
      <c r="BD8" s="10">
        <v>70035</v>
      </c>
      <c r="BE8" s="10">
        <v>266467</v>
      </c>
      <c r="BF8" s="36">
        <v>27866</v>
      </c>
      <c r="BG8" s="36">
        <v>106636</v>
      </c>
      <c r="BH8" s="10">
        <v>124484</v>
      </c>
      <c r="BI8" s="10">
        <v>559851</v>
      </c>
      <c r="BJ8" s="10">
        <v>67564</v>
      </c>
      <c r="BK8" s="10">
        <v>1569452</v>
      </c>
      <c r="BL8" s="10">
        <v>560351</v>
      </c>
      <c r="BM8" s="10">
        <v>1229031</v>
      </c>
      <c r="BN8" s="10">
        <v>91777</v>
      </c>
      <c r="BO8" s="10">
        <v>339518</v>
      </c>
      <c r="BP8" s="82">
        <f t="shared" si="0"/>
        <v>2974758.92</v>
      </c>
      <c r="BQ8" s="82">
        <f t="shared" si="1"/>
        <v>12059031.07</v>
      </c>
    </row>
    <row r="9" spans="1:69" x14ac:dyDescent="0.25">
      <c r="A9" s="26" t="s">
        <v>219</v>
      </c>
      <c r="B9" s="10">
        <v>10150</v>
      </c>
      <c r="C9" s="10">
        <v>22997</v>
      </c>
      <c r="D9" s="10">
        <v>4071</v>
      </c>
      <c r="E9" s="10">
        <v>11721</v>
      </c>
      <c r="F9" s="10">
        <v>5135</v>
      </c>
      <c r="G9" s="10">
        <v>19753</v>
      </c>
      <c r="H9" s="10">
        <v>22115</v>
      </c>
      <c r="I9" s="10">
        <v>96802</v>
      </c>
      <c r="J9" s="10">
        <v>40907</v>
      </c>
      <c r="K9" s="10">
        <v>136537</v>
      </c>
      <c r="L9" s="10">
        <v>8737</v>
      </c>
      <c r="M9" s="10">
        <v>43802</v>
      </c>
      <c r="N9" s="10">
        <v>5228</v>
      </c>
      <c r="O9" s="10">
        <v>30145</v>
      </c>
      <c r="P9" s="10">
        <v>2781</v>
      </c>
      <c r="Q9" s="10">
        <v>9545</v>
      </c>
      <c r="R9" s="10">
        <v>2001</v>
      </c>
      <c r="S9" s="10">
        <v>8145</v>
      </c>
      <c r="T9" s="10">
        <v>79554.45</v>
      </c>
      <c r="U9" s="10">
        <v>222670.57</v>
      </c>
      <c r="V9" s="10">
        <v>76856</v>
      </c>
      <c r="W9" s="10">
        <v>301772</v>
      </c>
      <c r="X9" s="10"/>
      <c r="Y9" s="10"/>
      <c r="Z9" s="10">
        <v>35771</v>
      </c>
      <c r="AA9" s="10">
        <v>137732</v>
      </c>
      <c r="AB9" s="10">
        <v>144318</v>
      </c>
      <c r="AC9" s="10">
        <v>516873</v>
      </c>
      <c r="AD9" s="10">
        <v>46205</v>
      </c>
      <c r="AE9" s="10">
        <v>156476</v>
      </c>
      <c r="AF9" s="10">
        <v>3752</v>
      </c>
      <c r="AG9" s="10">
        <v>17180</v>
      </c>
      <c r="AH9" s="10">
        <v>31569</v>
      </c>
      <c r="AI9" s="10">
        <v>137299</v>
      </c>
      <c r="AJ9" s="86">
        <v>2602</v>
      </c>
      <c r="AK9" s="10">
        <v>16052</v>
      </c>
      <c r="AL9" s="10">
        <v>5395</v>
      </c>
      <c r="AM9" s="10">
        <v>9516</v>
      </c>
      <c r="AN9" s="10">
        <v>46265</v>
      </c>
      <c r="AO9" s="10">
        <v>160489</v>
      </c>
      <c r="AP9" s="10">
        <v>19016</v>
      </c>
      <c r="AQ9" s="10">
        <v>68037</v>
      </c>
      <c r="AR9" s="10">
        <v>178364</v>
      </c>
      <c r="AS9" s="10">
        <v>623995</v>
      </c>
      <c r="AT9" s="10">
        <v>70562</v>
      </c>
      <c r="AU9" s="10">
        <v>262283</v>
      </c>
      <c r="AV9" s="10">
        <v>6541</v>
      </c>
      <c r="AW9" s="10">
        <v>14750</v>
      </c>
      <c r="AX9" s="10">
        <v>167274</v>
      </c>
      <c r="AY9" s="10">
        <v>424181</v>
      </c>
      <c r="AZ9" s="10">
        <v>4845</v>
      </c>
      <c r="BA9" s="10">
        <v>40412</v>
      </c>
      <c r="BB9" s="10">
        <v>17764</v>
      </c>
      <c r="BC9" s="10">
        <v>61546</v>
      </c>
      <c r="BD9" s="10">
        <v>67385</v>
      </c>
      <c r="BE9" s="10">
        <v>262705</v>
      </c>
      <c r="BF9" s="36">
        <v>10348</v>
      </c>
      <c r="BG9" s="36">
        <v>41758</v>
      </c>
      <c r="BH9" s="10">
        <v>79384</v>
      </c>
      <c r="BI9" s="10">
        <v>227114</v>
      </c>
      <c r="BJ9" s="10">
        <v>81</v>
      </c>
      <c r="BK9" s="10">
        <v>27009</v>
      </c>
      <c r="BL9" s="10">
        <v>-31233</v>
      </c>
      <c r="BM9" s="10">
        <v>167304</v>
      </c>
      <c r="BN9" s="10">
        <v>43833</v>
      </c>
      <c r="BO9" s="10">
        <v>170580</v>
      </c>
      <c r="BP9" s="82">
        <f t="shared" si="0"/>
        <v>1207576.45</v>
      </c>
      <c r="BQ9" s="82">
        <f t="shared" si="1"/>
        <v>4447180.57</v>
      </c>
    </row>
    <row r="10" spans="1:69" x14ac:dyDescent="0.25">
      <c r="A10" s="26" t="s">
        <v>220</v>
      </c>
      <c r="B10" s="10">
        <v>-1211</v>
      </c>
      <c r="C10" s="10">
        <v>1577</v>
      </c>
      <c r="D10" s="10">
        <v>27752</v>
      </c>
      <c r="E10" s="10">
        <v>85445</v>
      </c>
      <c r="F10" s="10">
        <v>6002</v>
      </c>
      <c r="G10" s="10">
        <v>17411</v>
      </c>
      <c r="H10" s="10">
        <v>49690</v>
      </c>
      <c r="I10" s="10">
        <v>92897</v>
      </c>
      <c r="J10" s="10">
        <v>58324</v>
      </c>
      <c r="K10" s="10">
        <v>248040</v>
      </c>
      <c r="L10" s="10">
        <v>6452</v>
      </c>
      <c r="M10" s="10">
        <v>24992</v>
      </c>
      <c r="N10" s="10">
        <v>12240</v>
      </c>
      <c r="O10" s="10">
        <v>47386</v>
      </c>
      <c r="P10" s="10">
        <v>455</v>
      </c>
      <c r="Q10" s="10">
        <v>1543</v>
      </c>
      <c r="R10" s="10">
        <v>7303</v>
      </c>
      <c r="S10" s="10">
        <v>30883</v>
      </c>
      <c r="T10" s="10">
        <v>4992.26</v>
      </c>
      <c r="U10" s="10">
        <v>17167.52</v>
      </c>
      <c r="V10" s="10">
        <v>21215</v>
      </c>
      <c r="W10" s="10">
        <v>134244</v>
      </c>
      <c r="X10" s="10">
        <v>1567</v>
      </c>
      <c r="Y10" s="10">
        <v>7490</v>
      </c>
      <c r="Z10" s="10">
        <v>43515</v>
      </c>
      <c r="AA10" s="10">
        <v>142603</v>
      </c>
      <c r="AB10" s="10">
        <v>35943</v>
      </c>
      <c r="AC10" s="10">
        <v>116518</v>
      </c>
      <c r="AD10" s="10">
        <v>35774</v>
      </c>
      <c r="AE10" s="10">
        <v>96592</v>
      </c>
      <c r="AF10" s="10">
        <v>4233</v>
      </c>
      <c r="AG10" s="10">
        <v>14848</v>
      </c>
      <c r="AH10" s="10">
        <v>7491</v>
      </c>
      <c r="AI10" s="10">
        <v>31494</v>
      </c>
      <c r="AJ10" s="86">
        <v>3571</v>
      </c>
      <c r="AK10" s="10">
        <v>12086</v>
      </c>
      <c r="AL10" s="10">
        <v>7499</v>
      </c>
      <c r="AM10" s="10">
        <v>38603</v>
      </c>
      <c r="AN10" s="10">
        <v>9350</v>
      </c>
      <c r="AO10" s="10">
        <v>25541</v>
      </c>
      <c r="AP10" s="10">
        <v>99983</v>
      </c>
      <c r="AQ10" s="10">
        <v>276669</v>
      </c>
      <c r="AR10" s="10">
        <v>104012</v>
      </c>
      <c r="AS10" s="10">
        <v>377258</v>
      </c>
      <c r="AT10" s="10">
        <v>60407</v>
      </c>
      <c r="AU10" s="10">
        <v>202704</v>
      </c>
      <c r="AV10" s="10">
        <v>868</v>
      </c>
      <c r="AW10" s="10">
        <v>1622</v>
      </c>
      <c r="AX10" s="10">
        <v>13103</v>
      </c>
      <c r="AY10" s="10">
        <v>55037</v>
      </c>
      <c r="AZ10" s="10">
        <v>23026</v>
      </c>
      <c r="BA10" s="10">
        <v>61225</v>
      </c>
      <c r="BB10" s="10">
        <v>25022</v>
      </c>
      <c r="BC10" s="10">
        <v>64658</v>
      </c>
      <c r="BD10" s="10">
        <v>102893</v>
      </c>
      <c r="BE10" s="10">
        <v>316466</v>
      </c>
      <c r="BF10" s="36">
        <v>44072</v>
      </c>
      <c r="BG10" s="36">
        <v>69899</v>
      </c>
      <c r="BH10" s="10">
        <v>48903</v>
      </c>
      <c r="BI10" s="10">
        <v>157557</v>
      </c>
      <c r="BJ10" s="10">
        <v>15228</v>
      </c>
      <c r="BK10" s="10">
        <v>85165</v>
      </c>
      <c r="BL10" s="10">
        <v>72192</v>
      </c>
      <c r="BM10" s="10">
        <v>216960</v>
      </c>
      <c r="BN10" s="10">
        <v>15376</v>
      </c>
      <c r="BO10" s="10">
        <v>45593</v>
      </c>
      <c r="BP10" s="82">
        <f t="shared" si="0"/>
        <v>967242.26</v>
      </c>
      <c r="BQ10" s="82">
        <f t="shared" si="1"/>
        <v>3118173.52</v>
      </c>
    </row>
    <row r="11" spans="1:69" x14ac:dyDescent="0.25">
      <c r="A11" s="26" t="s">
        <v>221</v>
      </c>
      <c r="B11" s="10">
        <v>2425</v>
      </c>
      <c r="C11" s="10">
        <v>9519</v>
      </c>
      <c r="D11" s="10">
        <v>15042</v>
      </c>
      <c r="E11" s="10">
        <v>42307</v>
      </c>
      <c r="F11" s="10">
        <v>1867</v>
      </c>
      <c r="G11" s="10">
        <v>10081</v>
      </c>
      <c r="H11" s="10">
        <v>37995</v>
      </c>
      <c r="I11" s="10">
        <v>103472</v>
      </c>
      <c r="J11" s="10">
        <v>90273</v>
      </c>
      <c r="K11" s="10">
        <v>338961</v>
      </c>
      <c r="L11" s="10">
        <v>67636</v>
      </c>
      <c r="M11" s="10">
        <v>238261</v>
      </c>
      <c r="N11" s="10">
        <v>20171</v>
      </c>
      <c r="O11" s="10">
        <v>84148</v>
      </c>
      <c r="P11" s="10">
        <v>2062</v>
      </c>
      <c r="Q11" s="10">
        <v>7817</v>
      </c>
      <c r="R11" s="10">
        <v>1675</v>
      </c>
      <c r="S11" s="10">
        <v>3965</v>
      </c>
      <c r="T11" s="10">
        <v>4563.21</v>
      </c>
      <c r="U11" s="10">
        <v>13089.75</v>
      </c>
      <c r="V11" s="10">
        <v>25473</v>
      </c>
      <c r="W11" s="10">
        <v>98488</v>
      </c>
      <c r="X11" s="10">
        <v>1407</v>
      </c>
      <c r="Y11" s="10">
        <v>11729</v>
      </c>
      <c r="Z11" s="10">
        <v>14121</v>
      </c>
      <c r="AA11" s="10">
        <v>48608</v>
      </c>
      <c r="AB11" s="10">
        <v>132584</v>
      </c>
      <c r="AC11" s="10">
        <v>427583</v>
      </c>
      <c r="AD11" s="10">
        <v>40766</v>
      </c>
      <c r="AE11" s="10">
        <v>130116</v>
      </c>
      <c r="AF11" s="10">
        <v>3388</v>
      </c>
      <c r="AG11" s="10">
        <v>12957</v>
      </c>
      <c r="AH11" s="10">
        <v>63557</v>
      </c>
      <c r="AI11" s="10">
        <v>194165</v>
      </c>
      <c r="AJ11" s="86">
        <v>3787</v>
      </c>
      <c r="AK11" s="10">
        <v>14917</v>
      </c>
      <c r="AL11" s="10">
        <v>14627</v>
      </c>
      <c r="AM11" s="10">
        <v>51990</v>
      </c>
      <c r="AN11" s="10">
        <v>7424</v>
      </c>
      <c r="AO11" s="10">
        <v>59341</v>
      </c>
      <c r="AP11" s="10">
        <v>93426</v>
      </c>
      <c r="AQ11" s="10">
        <v>321173</v>
      </c>
      <c r="AR11" s="10">
        <v>63188</v>
      </c>
      <c r="AS11" s="10">
        <v>230690</v>
      </c>
      <c r="AT11" s="10">
        <v>48978</v>
      </c>
      <c r="AU11" s="10">
        <v>149546</v>
      </c>
      <c r="AV11" s="10">
        <v>4358</v>
      </c>
      <c r="AW11" s="10">
        <v>7400</v>
      </c>
      <c r="AX11" s="10">
        <v>23695</v>
      </c>
      <c r="AY11" s="10">
        <v>128077</v>
      </c>
      <c r="AZ11" s="10">
        <v>40754</v>
      </c>
      <c r="BA11" s="10">
        <v>114101</v>
      </c>
      <c r="BB11" s="10">
        <v>30675</v>
      </c>
      <c r="BC11" s="10">
        <v>105871</v>
      </c>
      <c r="BD11" s="10">
        <v>83047</v>
      </c>
      <c r="BE11" s="10">
        <v>250899</v>
      </c>
      <c r="BF11" s="36">
        <v>16516</v>
      </c>
      <c r="BG11" s="36">
        <v>51749</v>
      </c>
      <c r="BH11" s="10">
        <v>58531</v>
      </c>
      <c r="BI11" s="10">
        <v>208477</v>
      </c>
      <c r="BJ11" s="10">
        <v>48710</v>
      </c>
      <c r="BK11" s="10">
        <v>244539</v>
      </c>
      <c r="BL11" s="10">
        <v>74482</v>
      </c>
      <c r="BM11" s="10">
        <v>294279</v>
      </c>
      <c r="BN11" s="10">
        <v>22173</v>
      </c>
      <c r="BO11" s="10">
        <v>61589</v>
      </c>
      <c r="BP11" s="82">
        <f t="shared" si="0"/>
        <v>1159376.21</v>
      </c>
      <c r="BQ11" s="82">
        <f t="shared" si="1"/>
        <v>4069904.75</v>
      </c>
    </row>
    <row r="12" spans="1:69" x14ac:dyDescent="0.25">
      <c r="A12" s="26" t="s">
        <v>222</v>
      </c>
      <c r="B12" s="10">
        <v>19816</v>
      </c>
      <c r="C12" s="10">
        <v>92928</v>
      </c>
      <c r="D12" s="10">
        <v>34326</v>
      </c>
      <c r="E12" s="10">
        <v>142599</v>
      </c>
      <c r="F12" s="10">
        <v>6610</v>
      </c>
      <c r="G12" s="10">
        <v>25375</v>
      </c>
      <c r="H12" s="10">
        <v>29849</v>
      </c>
      <c r="I12" s="10">
        <v>116199</v>
      </c>
      <c r="J12" s="10">
        <v>39014</v>
      </c>
      <c r="K12" s="10">
        <v>139162</v>
      </c>
      <c r="L12" s="10">
        <v>143321</v>
      </c>
      <c r="M12" s="10">
        <v>293996</v>
      </c>
      <c r="N12" s="10">
        <v>-38428</v>
      </c>
      <c r="O12" s="10">
        <v>72947</v>
      </c>
      <c r="P12" s="10">
        <v>68293</v>
      </c>
      <c r="Q12" s="10">
        <v>218107</v>
      </c>
      <c r="R12" s="10">
        <v>8129</v>
      </c>
      <c r="S12" s="10">
        <v>61050</v>
      </c>
      <c r="T12" s="10">
        <v>22565.34</v>
      </c>
      <c r="U12" s="10">
        <v>51538.64</v>
      </c>
      <c r="V12" s="10">
        <v>194718</v>
      </c>
      <c r="W12" s="10">
        <v>695407</v>
      </c>
      <c r="X12" s="10">
        <v>298042</v>
      </c>
      <c r="Y12" s="10">
        <v>785210</v>
      </c>
      <c r="Z12" s="10">
        <v>610219</v>
      </c>
      <c r="AA12" s="10">
        <v>2924495</v>
      </c>
      <c r="AB12" s="10">
        <v>437578</v>
      </c>
      <c r="AC12" s="10">
        <v>1506298</v>
      </c>
      <c r="AD12" s="10">
        <v>341702</v>
      </c>
      <c r="AE12" s="10">
        <v>956212</v>
      </c>
      <c r="AF12" s="10">
        <v>26830</v>
      </c>
      <c r="AG12" s="10">
        <v>87653</v>
      </c>
      <c r="AH12" s="10">
        <v>64751</v>
      </c>
      <c r="AI12" s="10">
        <v>234685</v>
      </c>
      <c r="AJ12" s="86">
        <v>16091</v>
      </c>
      <c r="AK12" s="10">
        <v>63618</v>
      </c>
      <c r="AL12" s="10">
        <v>99177</v>
      </c>
      <c r="AM12" s="10">
        <v>236444</v>
      </c>
      <c r="AN12" s="10">
        <v>185216</v>
      </c>
      <c r="AO12" s="10">
        <v>709213</v>
      </c>
      <c r="AP12" s="10">
        <v>33544</v>
      </c>
      <c r="AQ12" s="10">
        <v>201201</v>
      </c>
      <c r="AR12" s="10">
        <v>291083</v>
      </c>
      <c r="AS12" s="10">
        <v>784249</v>
      </c>
      <c r="AT12" s="10">
        <v>30654</v>
      </c>
      <c r="AU12" s="10">
        <v>80882</v>
      </c>
      <c r="AV12" s="10">
        <v>21726</v>
      </c>
      <c r="AW12" s="10">
        <v>33836</v>
      </c>
      <c r="AX12" s="10">
        <v>16286</v>
      </c>
      <c r="AY12" s="10">
        <v>79243</v>
      </c>
      <c r="AZ12" s="10">
        <v>336828</v>
      </c>
      <c r="BA12" s="10">
        <v>795475</v>
      </c>
      <c r="BB12" s="10">
        <v>9198</v>
      </c>
      <c r="BC12" s="10">
        <v>20020</v>
      </c>
      <c r="BD12" s="10">
        <v>122873</v>
      </c>
      <c r="BE12" s="10">
        <v>585807</v>
      </c>
      <c r="BF12" s="36">
        <v>52646</v>
      </c>
      <c r="BG12" s="36">
        <v>209393</v>
      </c>
      <c r="BH12" s="10">
        <v>130860</v>
      </c>
      <c r="BI12" s="10">
        <v>215379</v>
      </c>
      <c r="BJ12" s="10">
        <v>444993</v>
      </c>
      <c r="BK12" s="10">
        <v>3052715</v>
      </c>
      <c r="BL12" s="10">
        <v>34234</v>
      </c>
      <c r="BM12" s="10">
        <v>147688</v>
      </c>
      <c r="BN12" s="10">
        <v>33720</v>
      </c>
      <c r="BO12" s="10">
        <v>131296</v>
      </c>
      <c r="BP12" s="82">
        <f t="shared" si="0"/>
        <v>4166464.34</v>
      </c>
      <c r="BQ12" s="82">
        <f t="shared" si="1"/>
        <v>15750320.640000001</v>
      </c>
    </row>
    <row r="13" spans="1:69" x14ac:dyDescent="0.25">
      <c r="A13" s="26" t="s">
        <v>223</v>
      </c>
      <c r="B13" s="10">
        <v>392726</v>
      </c>
      <c r="C13" s="10">
        <v>1742790</v>
      </c>
      <c r="D13" s="10">
        <v>624475</v>
      </c>
      <c r="E13" s="10">
        <v>1286913</v>
      </c>
      <c r="F13" s="10">
        <v>103536</v>
      </c>
      <c r="G13" s="10">
        <v>455115</v>
      </c>
      <c r="H13" s="10">
        <v>288713</v>
      </c>
      <c r="I13" s="10">
        <v>1448619</v>
      </c>
      <c r="J13" s="10">
        <v>194577</v>
      </c>
      <c r="K13" s="10">
        <v>661079</v>
      </c>
      <c r="L13" s="10">
        <v>929276</v>
      </c>
      <c r="M13" s="10">
        <v>3308579</v>
      </c>
      <c r="N13" s="10">
        <v>450868</v>
      </c>
      <c r="O13" s="10">
        <v>1981978</v>
      </c>
      <c r="P13" s="10">
        <v>14554</v>
      </c>
      <c r="Q13" s="10">
        <v>217006</v>
      </c>
      <c r="R13" s="10">
        <v>50099</v>
      </c>
      <c r="S13" s="10">
        <v>146723</v>
      </c>
      <c r="T13" s="10">
        <v>13737.36</v>
      </c>
      <c r="U13" s="10">
        <v>65485.78</v>
      </c>
      <c r="V13" s="10">
        <v>263670</v>
      </c>
      <c r="W13" s="10">
        <v>940861</v>
      </c>
      <c r="X13" s="10">
        <v>756416</v>
      </c>
      <c r="Y13" s="10">
        <v>3600530</v>
      </c>
      <c r="Z13" s="10">
        <v>1213367</v>
      </c>
      <c r="AA13" s="10">
        <v>4181725</v>
      </c>
      <c r="AB13" s="10">
        <v>254410</v>
      </c>
      <c r="AC13" s="10">
        <v>1737244</v>
      </c>
      <c r="AD13" s="10">
        <v>421178</v>
      </c>
      <c r="AE13" s="10">
        <v>1232606</v>
      </c>
      <c r="AF13" s="10">
        <v>114907</v>
      </c>
      <c r="AG13" s="10">
        <v>267074</v>
      </c>
      <c r="AH13" s="10">
        <v>411130</v>
      </c>
      <c r="AI13" s="10">
        <v>1315262</v>
      </c>
      <c r="AJ13" s="86">
        <v>456520</v>
      </c>
      <c r="AK13" s="10">
        <v>1754454</v>
      </c>
      <c r="AL13" s="10">
        <v>71457</v>
      </c>
      <c r="AM13" s="10">
        <v>460839</v>
      </c>
      <c r="AN13" s="10">
        <v>325263</v>
      </c>
      <c r="AO13" s="10">
        <v>754324</v>
      </c>
      <c r="AP13" s="10">
        <v>76097</v>
      </c>
      <c r="AQ13" s="10">
        <v>224650</v>
      </c>
      <c r="AR13" s="10">
        <v>171556</v>
      </c>
      <c r="AS13" s="10">
        <v>524041</v>
      </c>
      <c r="AT13" s="10">
        <v>109652</v>
      </c>
      <c r="AU13" s="10">
        <v>327773</v>
      </c>
      <c r="AV13" s="10">
        <v>232431</v>
      </c>
      <c r="AW13" s="10">
        <v>558266</v>
      </c>
      <c r="AX13" s="10">
        <v>991484</v>
      </c>
      <c r="AY13" s="10">
        <v>5984115</v>
      </c>
      <c r="AZ13" s="10">
        <v>283146</v>
      </c>
      <c r="BA13" s="10">
        <v>1218397</v>
      </c>
      <c r="BB13" s="10">
        <v>116420</v>
      </c>
      <c r="BC13" s="10">
        <v>345450</v>
      </c>
      <c r="BD13" s="10">
        <v>83857</v>
      </c>
      <c r="BE13" s="10">
        <v>826572</v>
      </c>
      <c r="BF13" s="10">
        <v>-371449</v>
      </c>
      <c r="BG13" s="36">
        <v>585</v>
      </c>
      <c r="BH13" s="10">
        <v>558887</v>
      </c>
      <c r="BI13" s="10">
        <v>1298401</v>
      </c>
      <c r="BJ13" s="10">
        <v>570700</v>
      </c>
      <c r="BK13" s="10">
        <v>3220529</v>
      </c>
      <c r="BL13" s="10">
        <v>45287</v>
      </c>
      <c r="BM13" s="10">
        <v>163119</v>
      </c>
      <c r="BN13" s="10">
        <v>91177</v>
      </c>
      <c r="BO13" s="10">
        <v>295646</v>
      </c>
      <c r="BP13" s="82">
        <f t="shared" si="0"/>
        <v>10310124.359999999</v>
      </c>
      <c r="BQ13" s="82">
        <f t="shared" si="1"/>
        <v>42546750.780000001</v>
      </c>
    </row>
    <row r="14" spans="1:69" x14ac:dyDescent="0.25">
      <c r="A14" s="26" t="s">
        <v>224</v>
      </c>
      <c r="B14" s="10">
        <v>4777</v>
      </c>
      <c r="C14" s="10">
        <v>21617</v>
      </c>
      <c r="D14" s="10">
        <v>3145</v>
      </c>
      <c r="E14" s="10">
        <v>9818</v>
      </c>
      <c r="F14" s="10">
        <v>365</v>
      </c>
      <c r="G14" s="10">
        <v>12327</v>
      </c>
      <c r="H14" s="10">
        <v>21288</v>
      </c>
      <c r="I14" s="10">
        <v>69684</v>
      </c>
      <c r="J14" s="10">
        <v>74112</v>
      </c>
      <c r="K14" s="10">
        <v>266216</v>
      </c>
      <c r="L14" s="10">
        <v>22847</v>
      </c>
      <c r="M14" s="10">
        <v>114379</v>
      </c>
      <c r="N14" s="10">
        <v>54130</v>
      </c>
      <c r="O14" s="10">
        <v>102740</v>
      </c>
      <c r="P14" s="10">
        <v>522</v>
      </c>
      <c r="Q14" s="10">
        <v>5676</v>
      </c>
      <c r="R14" s="10">
        <v>2029</v>
      </c>
      <c r="S14" s="10">
        <v>3229</v>
      </c>
      <c r="T14" s="10">
        <v>196.24</v>
      </c>
      <c r="U14" s="10">
        <v>622.36</v>
      </c>
      <c r="V14" s="10">
        <v>11918</v>
      </c>
      <c r="W14" s="10">
        <v>45849</v>
      </c>
      <c r="X14" s="10">
        <v>13239</v>
      </c>
      <c r="Y14" s="10">
        <v>66468</v>
      </c>
      <c r="Z14" s="10">
        <v>121217</v>
      </c>
      <c r="AA14" s="10">
        <v>360142</v>
      </c>
      <c r="AB14" s="10">
        <v>112502</v>
      </c>
      <c r="AC14" s="10">
        <v>432793</v>
      </c>
      <c r="AD14" s="10">
        <v>54813</v>
      </c>
      <c r="AE14" s="10">
        <v>159813</v>
      </c>
      <c r="AF14" s="10">
        <v>3547</v>
      </c>
      <c r="AG14" s="10">
        <v>11570</v>
      </c>
      <c r="AH14" s="10">
        <v>7171</v>
      </c>
      <c r="AI14" s="10">
        <v>18813</v>
      </c>
      <c r="AJ14" s="86">
        <v>11972</v>
      </c>
      <c r="AK14" s="10">
        <v>44697</v>
      </c>
      <c r="AL14" s="10">
        <v>7410</v>
      </c>
      <c r="AM14" s="10">
        <v>24013</v>
      </c>
      <c r="AN14" s="10">
        <v>15551</v>
      </c>
      <c r="AO14" s="10">
        <v>40843</v>
      </c>
      <c r="AP14" s="10">
        <v>33718</v>
      </c>
      <c r="AQ14" s="10">
        <v>212835</v>
      </c>
      <c r="AR14" s="10">
        <v>112403</v>
      </c>
      <c r="AS14" s="10">
        <v>219173</v>
      </c>
      <c r="AT14" s="10">
        <v>38836</v>
      </c>
      <c r="AU14" s="10">
        <v>85050</v>
      </c>
      <c r="AV14" s="10">
        <v>2527</v>
      </c>
      <c r="AW14" s="10">
        <v>5881</v>
      </c>
      <c r="AX14" s="10">
        <v>25313</v>
      </c>
      <c r="AY14" s="10">
        <v>109474</v>
      </c>
      <c r="AZ14" s="10">
        <v>19353</v>
      </c>
      <c r="BA14" s="10">
        <v>49180</v>
      </c>
      <c r="BB14" s="10">
        <v>16317</v>
      </c>
      <c r="BC14" s="10">
        <v>54069</v>
      </c>
      <c r="BD14" s="10">
        <v>12160</v>
      </c>
      <c r="BE14" s="10">
        <v>31289</v>
      </c>
      <c r="BF14" s="36">
        <v>31360</v>
      </c>
      <c r="BG14" s="36">
        <v>108098</v>
      </c>
      <c r="BH14" s="10">
        <v>-58535</v>
      </c>
      <c r="BI14" s="10">
        <v>27964</v>
      </c>
      <c r="BJ14" s="10">
        <v>51767</v>
      </c>
      <c r="BK14" s="10">
        <v>177416</v>
      </c>
      <c r="BL14" s="10">
        <v>63167</v>
      </c>
      <c r="BM14" s="10">
        <v>245689</v>
      </c>
      <c r="BN14" s="10">
        <v>9242</v>
      </c>
      <c r="BO14" s="10">
        <v>24671</v>
      </c>
      <c r="BP14" s="82">
        <f t="shared" si="0"/>
        <v>900379.24</v>
      </c>
      <c r="BQ14" s="82">
        <f t="shared" si="1"/>
        <v>3162098.36</v>
      </c>
    </row>
    <row r="15" spans="1:69" x14ac:dyDescent="0.25">
      <c r="A15" s="27" t="s">
        <v>44</v>
      </c>
      <c r="B15" s="10">
        <f>B18-B17-B16-B14-B13-B12-B11-B10-B9-B8-B7-B6-B5</f>
        <v>98702</v>
      </c>
      <c r="C15" s="10">
        <f t="shared" ref="C15:BL15" si="2">C18-C17-C16-C14-C13-C12-C11-C10-C9-C8-C7-C6-C5</f>
        <v>488894</v>
      </c>
      <c r="D15" s="10">
        <f t="shared" si="2"/>
        <v>156774</v>
      </c>
      <c r="E15" s="10">
        <f t="shared" si="2"/>
        <v>486871</v>
      </c>
      <c r="F15" s="10">
        <f t="shared" si="2"/>
        <v>147848</v>
      </c>
      <c r="G15" s="10">
        <f t="shared" si="2"/>
        <v>949020</v>
      </c>
      <c r="H15" s="10">
        <f t="shared" si="2"/>
        <v>264587</v>
      </c>
      <c r="I15" s="10">
        <f t="shared" si="2"/>
        <v>1154370</v>
      </c>
      <c r="J15" s="10">
        <f t="shared" si="2"/>
        <v>2334321</v>
      </c>
      <c r="K15" s="10">
        <f t="shared" si="2"/>
        <v>10262515</v>
      </c>
      <c r="L15" s="10">
        <f t="shared" si="2"/>
        <v>177480</v>
      </c>
      <c r="M15" s="10">
        <f t="shared" si="2"/>
        <v>701453</v>
      </c>
      <c r="N15" s="10">
        <f t="shared" si="2"/>
        <v>1983034</v>
      </c>
      <c r="O15" s="10">
        <f t="shared" si="2"/>
        <v>6373938</v>
      </c>
      <c r="P15" s="10">
        <f t="shared" si="2"/>
        <v>21476</v>
      </c>
      <c r="Q15" s="10">
        <f t="shared" si="2"/>
        <v>72890</v>
      </c>
      <c r="R15" s="10">
        <f t="shared" si="2"/>
        <v>26528</v>
      </c>
      <c r="S15" s="10">
        <f t="shared" si="2"/>
        <v>91364</v>
      </c>
      <c r="T15" s="10">
        <f t="shared" si="2"/>
        <v>71348.280000000028</v>
      </c>
      <c r="U15" s="10">
        <f t="shared" si="2"/>
        <v>227931.65000000014</v>
      </c>
      <c r="V15" s="10">
        <f t="shared" si="2"/>
        <v>1039615</v>
      </c>
      <c r="W15" s="10">
        <f t="shared" si="2"/>
        <v>3487699</v>
      </c>
      <c r="X15" s="10">
        <f t="shared" si="2"/>
        <v>226104</v>
      </c>
      <c r="Y15" s="10">
        <f t="shared" si="2"/>
        <v>903156</v>
      </c>
      <c r="Z15" s="10">
        <f t="shared" si="2"/>
        <v>184560</v>
      </c>
      <c r="AA15" s="10">
        <f t="shared" si="2"/>
        <v>744588</v>
      </c>
      <c r="AB15" s="10">
        <f t="shared" si="2"/>
        <v>2142060</v>
      </c>
      <c r="AC15" s="10">
        <f t="shared" si="2"/>
        <v>8803241</v>
      </c>
      <c r="AD15" s="10">
        <f t="shared" si="2"/>
        <v>195802</v>
      </c>
      <c r="AE15" s="10">
        <f t="shared" si="2"/>
        <v>565715</v>
      </c>
      <c r="AF15" s="10">
        <f t="shared" si="2"/>
        <v>66216</v>
      </c>
      <c r="AG15" s="10">
        <f t="shared" si="2"/>
        <v>215635</v>
      </c>
      <c r="AH15" s="10">
        <f t="shared" si="2"/>
        <v>27322</v>
      </c>
      <c r="AI15" s="10">
        <f t="shared" si="2"/>
        <v>796863</v>
      </c>
      <c r="AJ15" s="10">
        <f t="shared" si="2"/>
        <v>76407</v>
      </c>
      <c r="AK15" s="10">
        <f t="shared" si="2"/>
        <v>344124</v>
      </c>
      <c r="AL15" s="10">
        <f t="shared" si="2"/>
        <v>75096</v>
      </c>
      <c r="AM15" s="10">
        <f t="shared" si="2"/>
        <v>353658</v>
      </c>
      <c r="AN15" s="10">
        <f t="shared" si="2"/>
        <v>9997</v>
      </c>
      <c r="AO15" s="10">
        <f t="shared" si="2"/>
        <v>25154</v>
      </c>
      <c r="AP15" s="10">
        <f t="shared" si="2"/>
        <v>1206074.5</v>
      </c>
      <c r="AQ15" s="10">
        <f t="shared" si="2"/>
        <v>3857334</v>
      </c>
      <c r="AR15" s="10">
        <f t="shared" si="2"/>
        <v>698553</v>
      </c>
      <c r="AS15" s="10">
        <f t="shared" si="2"/>
        <v>4152767</v>
      </c>
      <c r="AT15" s="10">
        <f t="shared" si="2"/>
        <v>384810</v>
      </c>
      <c r="AU15" s="10">
        <f t="shared" si="2"/>
        <v>1417042</v>
      </c>
      <c r="AV15" s="10">
        <f t="shared" si="2"/>
        <v>17196</v>
      </c>
      <c r="AW15" s="10">
        <f t="shared" si="2"/>
        <v>27634</v>
      </c>
      <c r="AX15" s="10">
        <f t="shared" si="2"/>
        <v>156547</v>
      </c>
      <c r="AY15" s="10">
        <f t="shared" si="2"/>
        <v>1144110</v>
      </c>
      <c r="AZ15" s="10">
        <f t="shared" si="2"/>
        <v>61167</v>
      </c>
      <c r="BA15" s="10">
        <f t="shared" si="2"/>
        <v>163317</v>
      </c>
      <c r="BB15" s="10">
        <f t="shared" si="2"/>
        <v>516575</v>
      </c>
      <c r="BC15" s="10">
        <f t="shared" si="2"/>
        <v>1731719</v>
      </c>
      <c r="BD15" s="10">
        <f t="shared" si="2"/>
        <v>1199792</v>
      </c>
      <c r="BE15" s="10">
        <f t="shared" si="2"/>
        <v>2020199</v>
      </c>
      <c r="BF15" s="10">
        <f t="shared" si="2"/>
        <v>1313270</v>
      </c>
      <c r="BG15" s="10">
        <f t="shared" si="2"/>
        <v>2934976</v>
      </c>
      <c r="BH15" s="10">
        <f t="shared" si="2"/>
        <v>73467</v>
      </c>
      <c r="BI15" s="10">
        <f t="shared" si="2"/>
        <v>-841637</v>
      </c>
      <c r="BJ15" s="10">
        <f t="shared" si="2"/>
        <v>606211</v>
      </c>
      <c r="BK15" s="10">
        <f t="shared" si="2"/>
        <v>1966598</v>
      </c>
      <c r="BL15" s="10">
        <f t="shared" si="2"/>
        <v>738440</v>
      </c>
      <c r="BM15" s="10">
        <f t="shared" ref="BM15:BO15" si="3">BM18-BM17-BM16-BM14-BM13-BM12-BM11-BM10-BM9-BM8-BM7-BM6-BM5</f>
        <v>3794291</v>
      </c>
      <c r="BN15" s="10">
        <f t="shared" si="3"/>
        <v>386897</v>
      </c>
      <c r="BO15" s="10">
        <f t="shared" si="3"/>
        <v>852608</v>
      </c>
      <c r="BP15" s="82">
        <f t="shared" si="0"/>
        <v>16684276.780000001</v>
      </c>
      <c r="BQ15" s="82">
        <f t="shared" si="1"/>
        <v>60270037.649999999</v>
      </c>
    </row>
    <row r="16" spans="1:69" x14ac:dyDescent="0.25">
      <c r="A16" s="26" t="s">
        <v>225</v>
      </c>
      <c r="B16" s="10">
        <v>9405</v>
      </c>
      <c r="C16" s="10">
        <v>36815</v>
      </c>
      <c r="D16" s="10">
        <v>57444</v>
      </c>
      <c r="E16" s="10">
        <v>195179</v>
      </c>
      <c r="F16" s="10">
        <v>397296</v>
      </c>
      <c r="G16" s="10">
        <v>643121</v>
      </c>
      <c r="H16" s="10">
        <v>35022</v>
      </c>
      <c r="I16" s="10">
        <v>142807</v>
      </c>
      <c r="J16" s="10">
        <v>136237</v>
      </c>
      <c r="K16" s="10">
        <v>503954</v>
      </c>
      <c r="L16" s="10">
        <v>24336</v>
      </c>
      <c r="M16" s="10">
        <v>93613</v>
      </c>
      <c r="N16" s="10">
        <v>57509</v>
      </c>
      <c r="O16" s="10">
        <v>231186</v>
      </c>
      <c r="P16" s="10">
        <v>33072</v>
      </c>
      <c r="Q16" s="10">
        <v>123978</v>
      </c>
      <c r="R16" s="10">
        <v>9319</v>
      </c>
      <c r="S16" s="10">
        <v>30795</v>
      </c>
      <c r="T16" s="10">
        <v>10813.14</v>
      </c>
      <c r="U16" s="10">
        <v>45234.67</v>
      </c>
      <c r="V16" s="10">
        <v>28909</v>
      </c>
      <c r="W16" s="10">
        <v>107826</v>
      </c>
      <c r="X16" s="10">
        <v>15319</v>
      </c>
      <c r="Y16" s="10">
        <v>58007</v>
      </c>
      <c r="Z16" s="10">
        <v>110442</v>
      </c>
      <c r="AA16" s="10">
        <v>389440</v>
      </c>
      <c r="AB16" s="10">
        <v>319300</v>
      </c>
      <c r="AC16" s="10">
        <v>900298</v>
      </c>
      <c r="AD16" s="10">
        <v>63091</v>
      </c>
      <c r="AE16" s="10">
        <v>239924</v>
      </c>
      <c r="AF16" s="10">
        <v>9717</v>
      </c>
      <c r="AG16" s="10">
        <v>40879</v>
      </c>
      <c r="AH16" s="10">
        <v>64904</v>
      </c>
      <c r="AI16" s="10">
        <v>194471</v>
      </c>
      <c r="AJ16" s="86">
        <v>17081</v>
      </c>
      <c r="AK16" s="10">
        <v>65215</v>
      </c>
      <c r="AL16" s="10">
        <v>21318</v>
      </c>
      <c r="AM16" s="10">
        <v>57269</v>
      </c>
      <c r="AN16" s="10">
        <v>71341</v>
      </c>
      <c r="AO16" s="10">
        <v>206679</v>
      </c>
      <c r="AP16" s="10">
        <v>182391</v>
      </c>
      <c r="AQ16" s="10">
        <v>779519</v>
      </c>
      <c r="AR16" s="10">
        <v>202646</v>
      </c>
      <c r="AS16" s="10">
        <v>906851</v>
      </c>
      <c r="AT16" s="10">
        <v>230283</v>
      </c>
      <c r="AU16" s="10">
        <v>600424</v>
      </c>
      <c r="AV16" s="10">
        <v>3903</v>
      </c>
      <c r="AW16" s="10">
        <v>13999</v>
      </c>
      <c r="AX16" s="10">
        <v>37059</v>
      </c>
      <c r="AY16" s="10">
        <v>158303</v>
      </c>
      <c r="AZ16" s="10">
        <v>47820</v>
      </c>
      <c r="BA16" s="10">
        <v>180826</v>
      </c>
      <c r="BB16" s="10">
        <v>29210</v>
      </c>
      <c r="BC16" s="10">
        <v>120418</v>
      </c>
      <c r="BD16" s="10">
        <v>141168</v>
      </c>
      <c r="BE16" s="10">
        <v>519677</v>
      </c>
      <c r="BF16" s="36">
        <v>12426</v>
      </c>
      <c r="BG16">
        <v>49755</v>
      </c>
      <c r="BH16" s="10">
        <v>77040</v>
      </c>
      <c r="BI16" s="10">
        <v>294404</v>
      </c>
      <c r="BJ16" s="10">
        <v>99484</v>
      </c>
      <c r="BK16" s="10">
        <v>367404</v>
      </c>
      <c r="BL16" s="10">
        <v>144790</v>
      </c>
      <c r="BM16" s="10">
        <v>540906</v>
      </c>
      <c r="BN16" s="10">
        <v>32328</v>
      </c>
      <c r="BO16" s="10">
        <v>120649</v>
      </c>
      <c r="BP16" s="82">
        <f t="shared" si="0"/>
        <v>2732423.14</v>
      </c>
      <c r="BQ16" s="82">
        <f t="shared" si="1"/>
        <v>8959825.6699999999</v>
      </c>
    </row>
    <row r="17" spans="1:69" x14ac:dyDescent="0.25">
      <c r="A17" s="26" t="s">
        <v>226</v>
      </c>
      <c r="B17" s="10">
        <v>-2926</v>
      </c>
      <c r="C17" s="10">
        <v>4060</v>
      </c>
      <c r="D17" s="10"/>
      <c r="E17" s="10"/>
      <c r="F17" s="10"/>
      <c r="G17" s="10"/>
      <c r="H17" s="10">
        <v>9770</v>
      </c>
      <c r="I17" s="10">
        <v>18257</v>
      </c>
      <c r="J17" s="10">
        <v>140989</v>
      </c>
      <c r="K17" s="10">
        <v>298454</v>
      </c>
      <c r="L17" s="10">
        <v>26067</v>
      </c>
      <c r="M17" s="10">
        <v>144603</v>
      </c>
      <c r="N17" s="10">
        <v>-38600</v>
      </c>
      <c r="O17" s="10">
        <v>5000</v>
      </c>
      <c r="P17" s="10">
        <v>808</v>
      </c>
      <c r="Q17" s="10">
        <v>2877</v>
      </c>
      <c r="R17" s="10">
        <v>1160</v>
      </c>
      <c r="S17" s="10">
        <v>2912</v>
      </c>
      <c r="T17" s="10"/>
      <c r="U17" s="10"/>
      <c r="V17" s="10">
        <v>5596</v>
      </c>
      <c r="W17" s="10">
        <v>27842</v>
      </c>
      <c r="X17" s="10">
        <v>5030</v>
      </c>
      <c r="Y17" s="10">
        <v>9297</v>
      </c>
      <c r="Z17" s="10"/>
      <c r="AA17" s="10"/>
      <c r="AB17" s="10"/>
      <c r="AC17" s="10"/>
      <c r="AD17" s="10">
        <v>33901</v>
      </c>
      <c r="AE17" s="10">
        <v>139968</v>
      </c>
      <c r="AF17" s="10"/>
      <c r="AG17" s="10"/>
      <c r="AH17" s="10"/>
      <c r="AI17" s="10"/>
      <c r="AJ17" s="11"/>
      <c r="AK17" s="10"/>
      <c r="AL17" s="10"/>
      <c r="AM17" s="10"/>
      <c r="AN17" s="10">
        <v>121</v>
      </c>
      <c r="AO17" s="10">
        <v>1825</v>
      </c>
      <c r="AP17" s="10">
        <v>861622</v>
      </c>
      <c r="AQ17" s="10">
        <v>1029196</v>
      </c>
      <c r="AR17" s="10">
        <v>305717</v>
      </c>
      <c r="AS17" s="10">
        <v>1365610</v>
      </c>
      <c r="AT17" s="10">
        <v>0</v>
      </c>
      <c r="AU17" s="10">
        <v>0</v>
      </c>
      <c r="AV17" s="10"/>
      <c r="AW17" s="10"/>
      <c r="AX17" s="10">
        <v>51860</v>
      </c>
      <c r="AY17" s="10">
        <v>140930</v>
      </c>
      <c r="AZ17" s="10">
        <v>6359</v>
      </c>
      <c r="BA17" s="10">
        <v>13036</v>
      </c>
      <c r="BB17" s="10">
        <v>3330</v>
      </c>
      <c r="BC17" s="10">
        <v>7082</v>
      </c>
      <c r="BD17" s="10">
        <v>73435</v>
      </c>
      <c r="BE17" s="10">
        <v>171860</v>
      </c>
      <c r="BF17" s="10"/>
      <c r="BG17" s="10"/>
      <c r="BH17" s="10"/>
      <c r="BI17" s="10"/>
      <c r="BJ17" s="10">
        <v>-5607</v>
      </c>
      <c r="BK17" s="10">
        <v>52737</v>
      </c>
      <c r="BL17" s="10">
        <v>11057</v>
      </c>
      <c r="BM17" s="10">
        <v>11057</v>
      </c>
      <c r="BN17" s="10"/>
      <c r="BO17" s="10"/>
      <c r="BP17" s="82">
        <f t="shared" si="0"/>
        <v>1489689</v>
      </c>
      <c r="BQ17" s="82">
        <f t="shared" si="1"/>
        <v>3446603</v>
      </c>
    </row>
    <row r="18" spans="1:69" s="8" customFormat="1" x14ac:dyDescent="0.25">
      <c r="A18" s="3" t="s">
        <v>54</v>
      </c>
      <c r="B18" s="11">
        <v>685059</v>
      </c>
      <c r="C18" s="11">
        <v>2964147</v>
      </c>
      <c r="D18" s="11">
        <v>1963938</v>
      </c>
      <c r="E18" s="11">
        <v>5295823</v>
      </c>
      <c r="F18" s="11">
        <v>856658</v>
      </c>
      <c r="G18" s="11">
        <v>2842856</v>
      </c>
      <c r="H18" s="11">
        <v>1507311</v>
      </c>
      <c r="I18" s="11">
        <v>6190707</v>
      </c>
      <c r="J18" s="11">
        <v>5429718</v>
      </c>
      <c r="K18" s="11">
        <v>23202954</v>
      </c>
      <c r="L18" s="11">
        <v>1895623</v>
      </c>
      <c r="M18" s="11">
        <v>7361795</v>
      </c>
      <c r="N18" s="11">
        <v>2852775</v>
      </c>
      <c r="O18" s="11">
        <v>10552805</v>
      </c>
      <c r="P18" s="11">
        <v>276067</v>
      </c>
      <c r="Q18" s="11">
        <v>1179492</v>
      </c>
      <c r="R18" s="11">
        <v>280881</v>
      </c>
      <c r="S18" s="11">
        <v>876440</v>
      </c>
      <c r="T18" s="11">
        <v>1068020.8999999999</v>
      </c>
      <c r="U18" s="11">
        <v>2676323.61</v>
      </c>
      <c r="V18" s="11">
        <v>2394836</v>
      </c>
      <c r="W18" s="11">
        <v>8560810</v>
      </c>
      <c r="X18" s="11">
        <v>1585337</v>
      </c>
      <c r="Y18" s="11">
        <v>6814435</v>
      </c>
      <c r="Z18" s="11">
        <v>3674321</v>
      </c>
      <c r="AA18" s="11">
        <v>14105577</v>
      </c>
      <c r="AB18" s="11">
        <v>5646620</v>
      </c>
      <c r="AC18" s="11">
        <v>22931019</v>
      </c>
      <c r="AD18" s="11">
        <v>2122682</v>
      </c>
      <c r="AE18" s="11">
        <v>7442060</v>
      </c>
      <c r="AF18" s="11">
        <v>409016</v>
      </c>
      <c r="AG18" s="11">
        <v>1365890</v>
      </c>
      <c r="AH18" s="11">
        <v>1065455</v>
      </c>
      <c r="AI18" s="11">
        <v>4633802</v>
      </c>
      <c r="AJ18" s="11">
        <v>879507</v>
      </c>
      <c r="AK18" s="11">
        <v>3505374</v>
      </c>
      <c r="AL18" s="11">
        <v>725368</v>
      </c>
      <c r="AM18" s="11">
        <v>2881130</v>
      </c>
      <c r="AN18" s="11">
        <v>1343697</v>
      </c>
      <c r="AO18" s="11">
        <v>4194575</v>
      </c>
      <c r="AP18" s="11">
        <v>18295007.5</v>
      </c>
      <c r="AQ18" s="11">
        <v>43880121</v>
      </c>
      <c r="AR18" s="11">
        <v>9710280</v>
      </c>
      <c r="AS18" s="11">
        <v>38272285</v>
      </c>
      <c r="AT18" s="11">
        <v>14700543</v>
      </c>
      <c r="AU18" s="11">
        <v>34425350</v>
      </c>
      <c r="AV18" s="11">
        <v>352740</v>
      </c>
      <c r="AW18" s="11">
        <v>948109</v>
      </c>
      <c r="AX18" s="11">
        <v>2554786</v>
      </c>
      <c r="AY18" s="11">
        <v>12597851</v>
      </c>
      <c r="AZ18" s="11">
        <v>1938680</v>
      </c>
      <c r="BA18" s="11">
        <v>6606359</v>
      </c>
      <c r="BB18" s="11">
        <v>1287806</v>
      </c>
      <c r="BC18" s="11">
        <v>4622995</v>
      </c>
      <c r="BD18" s="11">
        <v>2976764</v>
      </c>
      <c r="BE18" s="11">
        <v>9087230</v>
      </c>
      <c r="BF18" s="11">
        <v>1433396</v>
      </c>
      <c r="BG18" s="11">
        <v>4732002</v>
      </c>
      <c r="BH18" s="11">
        <v>3728174</v>
      </c>
      <c r="BI18" s="11">
        <v>11013224</v>
      </c>
      <c r="BJ18" s="11">
        <v>2950403</v>
      </c>
      <c r="BK18" s="11">
        <v>15479733</v>
      </c>
      <c r="BL18" s="11">
        <v>10748690</v>
      </c>
      <c r="BM18" s="11">
        <v>34329784</v>
      </c>
      <c r="BN18" s="11">
        <v>964190</v>
      </c>
      <c r="BO18" s="11">
        <v>2857726</v>
      </c>
      <c r="BP18" s="76">
        <f t="shared" si="0"/>
        <v>108304349.40000001</v>
      </c>
      <c r="BQ18" s="76">
        <f t="shared" si="1"/>
        <v>358430783.61000001</v>
      </c>
    </row>
  </sheetData>
  <mergeCells count="34">
    <mergeCell ref="L3:M3"/>
    <mergeCell ref="B3:C3"/>
    <mergeCell ref="D3:E3"/>
    <mergeCell ref="F3:G3"/>
    <mergeCell ref="H3:I3"/>
    <mergeCell ref="J3:K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F3:BG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H3:BI3"/>
    <mergeCell ref="BJ3:BK3"/>
    <mergeCell ref="BL3:BM3"/>
    <mergeCell ref="BN3:BO3"/>
    <mergeCell ref="BP3:BQ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9" t="s">
        <v>301</v>
      </c>
    </row>
    <row r="2" spans="1:35" x14ac:dyDescent="0.25">
      <c r="A2" s="7" t="s">
        <v>46</v>
      </c>
    </row>
    <row r="3" spans="1:35" x14ac:dyDescent="0.25">
      <c r="A3" s="1" t="s">
        <v>0</v>
      </c>
      <c r="B3" s="89" t="s">
        <v>1</v>
      </c>
      <c r="C3" s="89" t="s">
        <v>2</v>
      </c>
      <c r="D3" s="89" t="s">
        <v>3</v>
      </c>
      <c r="E3" s="89" t="s">
        <v>297</v>
      </c>
      <c r="F3" s="89" t="s">
        <v>5</v>
      </c>
      <c r="G3" s="89" t="s">
        <v>6</v>
      </c>
      <c r="H3" s="89" t="s">
        <v>7</v>
      </c>
      <c r="I3" s="89" t="s">
        <v>309</v>
      </c>
      <c r="J3" s="89" t="s">
        <v>9</v>
      </c>
      <c r="K3" s="89" t="s">
        <v>10</v>
      </c>
      <c r="L3" s="89" t="s">
        <v>11</v>
      </c>
      <c r="M3" s="89" t="s">
        <v>12</v>
      </c>
      <c r="N3" s="89" t="s">
        <v>13</v>
      </c>
      <c r="O3" s="89" t="s">
        <v>14</v>
      </c>
      <c r="P3" s="89" t="s">
        <v>15</v>
      </c>
      <c r="Q3" s="89" t="s">
        <v>16</v>
      </c>
      <c r="R3" s="89" t="s">
        <v>17</v>
      </c>
      <c r="S3" s="89" t="s">
        <v>18</v>
      </c>
      <c r="T3" s="89" t="s">
        <v>293</v>
      </c>
      <c r="U3" s="89" t="s">
        <v>19</v>
      </c>
      <c r="V3" s="89" t="s">
        <v>20</v>
      </c>
      <c r="W3" s="89" t="s">
        <v>21</v>
      </c>
      <c r="X3" s="89" t="s">
        <v>22</v>
      </c>
      <c r="Y3" s="89" t="s">
        <v>23</v>
      </c>
      <c r="Z3" s="89" t="s">
        <v>24</v>
      </c>
      <c r="AA3" s="89" t="s">
        <v>25</v>
      </c>
      <c r="AB3" s="89" t="s">
        <v>26</v>
      </c>
      <c r="AC3" s="89" t="s">
        <v>27</v>
      </c>
      <c r="AD3" s="89" t="s">
        <v>28</v>
      </c>
      <c r="AE3" s="89" t="s">
        <v>29</v>
      </c>
      <c r="AF3" s="89" t="s">
        <v>30</v>
      </c>
      <c r="AG3" s="88" t="s">
        <v>31</v>
      </c>
      <c r="AH3" s="89" t="s">
        <v>32</v>
      </c>
      <c r="AI3" s="87" t="s">
        <v>33</v>
      </c>
    </row>
    <row r="4" spans="1:35" x14ac:dyDescent="0.25">
      <c r="A4" s="10" t="s">
        <v>47</v>
      </c>
      <c r="B4" s="10"/>
      <c r="C4" s="10"/>
      <c r="D4" s="10"/>
      <c r="E4" s="10"/>
      <c r="F4" s="10"/>
      <c r="G4" s="10"/>
      <c r="H4" s="10"/>
      <c r="I4" s="10"/>
      <c r="J4" s="10"/>
      <c r="K4" s="14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51">
        <v>575</v>
      </c>
      <c r="X4" s="153">
        <v>2565</v>
      </c>
      <c r="Y4" s="10"/>
      <c r="Z4" s="10"/>
      <c r="AA4" s="10"/>
      <c r="AB4" s="10"/>
      <c r="AC4" s="10"/>
      <c r="AD4" s="10"/>
      <c r="AE4" s="10"/>
      <c r="AF4" s="10"/>
      <c r="AG4" s="10">
        <v>13589</v>
      </c>
      <c r="AH4" s="10"/>
      <c r="AI4" s="77">
        <f t="shared" ref="AI4:AI11" si="0">SUM(B4:AH4)</f>
        <v>16729</v>
      </c>
    </row>
    <row r="5" spans="1:35" x14ac:dyDescent="0.25">
      <c r="A5" s="10" t="s">
        <v>48</v>
      </c>
      <c r="B5" s="10"/>
      <c r="C5" s="10"/>
      <c r="D5" s="10"/>
      <c r="E5" s="10"/>
      <c r="F5" s="10"/>
      <c r="G5" s="10"/>
      <c r="H5" s="10"/>
      <c r="I5" s="10"/>
      <c r="J5" s="10"/>
      <c r="K5" s="14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51"/>
      <c r="X5" s="153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77">
        <f t="shared" si="0"/>
        <v>0</v>
      </c>
    </row>
    <row r="6" spans="1:35" x14ac:dyDescent="0.25">
      <c r="A6" s="10" t="s">
        <v>49</v>
      </c>
      <c r="B6" s="10"/>
      <c r="C6" s="10">
        <v>7621442</v>
      </c>
      <c r="D6" s="10"/>
      <c r="E6" s="10">
        <v>5517832</v>
      </c>
      <c r="F6" s="10">
        <v>1666197</v>
      </c>
      <c r="G6" s="10">
        <v>1720185</v>
      </c>
      <c r="H6" s="10">
        <v>1432645</v>
      </c>
      <c r="I6" s="10"/>
      <c r="J6" s="10"/>
      <c r="K6" s="149"/>
      <c r="L6" s="10"/>
      <c r="M6" s="10">
        <v>8277407</v>
      </c>
      <c r="N6" s="10">
        <v>8440482</v>
      </c>
      <c r="O6" s="10">
        <v>15731803</v>
      </c>
      <c r="P6" s="10">
        <v>4519821</v>
      </c>
      <c r="Q6" s="10"/>
      <c r="R6" s="10">
        <v>6483749</v>
      </c>
      <c r="S6" s="10">
        <v>2381367</v>
      </c>
      <c r="T6" s="10">
        <v>3298637</v>
      </c>
      <c r="U6" s="10"/>
      <c r="V6" s="10"/>
      <c r="W6" s="151">
        <v>18908542</v>
      </c>
      <c r="X6" s="153"/>
      <c r="Y6" s="10"/>
      <c r="Z6" s="10">
        <v>7667050</v>
      </c>
      <c r="AA6" s="10">
        <v>191306</v>
      </c>
      <c r="AB6" s="10">
        <v>2550000</v>
      </c>
      <c r="AC6" s="10">
        <v>13326000</v>
      </c>
      <c r="AD6" s="10">
        <v>1967</v>
      </c>
      <c r="AE6" s="10">
        <v>10369828</v>
      </c>
      <c r="AF6" s="10">
        <v>4705428</v>
      </c>
      <c r="AG6" s="10"/>
      <c r="AH6" s="10">
        <v>1676182</v>
      </c>
      <c r="AI6" s="77">
        <f t="shared" si="0"/>
        <v>126487870</v>
      </c>
    </row>
    <row r="7" spans="1:35" x14ac:dyDescent="0.25">
      <c r="A7" s="10" t="s">
        <v>50</v>
      </c>
      <c r="B7" s="10"/>
      <c r="C7" s="10"/>
      <c r="D7" s="10">
        <v>39437983</v>
      </c>
      <c r="E7" s="10"/>
      <c r="F7" s="10"/>
      <c r="G7" s="10"/>
      <c r="H7" s="10">
        <v>6347567</v>
      </c>
      <c r="I7" s="10"/>
      <c r="J7" s="10"/>
      <c r="K7" s="149">
        <v>26549180.309999999</v>
      </c>
      <c r="L7" s="10"/>
      <c r="M7" s="10"/>
      <c r="N7" s="10"/>
      <c r="O7" s="10">
        <v>333642</v>
      </c>
      <c r="P7" s="10"/>
      <c r="Q7" s="10"/>
      <c r="R7" s="10"/>
      <c r="S7" s="10"/>
      <c r="T7" s="10"/>
      <c r="U7" s="10"/>
      <c r="V7" s="10"/>
      <c r="W7" s="151">
        <v>130157433</v>
      </c>
      <c r="X7" s="153">
        <v>11386629</v>
      </c>
      <c r="Y7" s="10"/>
      <c r="Z7" s="10"/>
      <c r="AA7" s="10"/>
      <c r="AB7" s="10"/>
      <c r="AC7" s="10"/>
      <c r="AD7" s="10"/>
      <c r="AE7" s="10"/>
      <c r="AF7" s="10">
        <v>151237</v>
      </c>
      <c r="AG7" s="10">
        <v>12228860</v>
      </c>
      <c r="AH7" s="10"/>
      <c r="AI7" s="77">
        <f t="shared" si="0"/>
        <v>226592531.31</v>
      </c>
    </row>
    <row r="8" spans="1:35" x14ac:dyDescent="0.25">
      <c r="A8" s="10" t="s">
        <v>51</v>
      </c>
      <c r="B8" s="10"/>
      <c r="C8" s="10"/>
      <c r="D8" s="10"/>
      <c r="E8" s="10"/>
      <c r="F8" s="10"/>
      <c r="G8" s="10"/>
      <c r="H8" s="10"/>
      <c r="I8" s="10"/>
      <c r="J8" s="10"/>
      <c r="K8" s="149"/>
      <c r="L8" s="10"/>
      <c r="M8" s="10"/>
      <c r="N8" s="10"/>
      <c r="O8" s="10"/>
      <c r="P8" s="10">
        <v>1166</v>
      </c>
      <c r="Q8" s="10"/>
      <c r="R8" s="10"/>
      <c r="S8" s="10"/>
      <c r="T8" s="10"/>
      <c r="U8" s="10"/>
      <c r="V8" s="10">
        <v>16533</v>
      </c>
      <c r="W8" s="151"/>
      <c r="X8" s="153"/>
      <c r="Y8" s="10"/>
      <c r="Z8" s="10"/>
      <c r="AA8" s="10"/>
      <c r="AB8" s="10"/>
      <c r="AC8" s="10"/>
      <c r="AD8" s="10"/>
      <c r="AE8" s="10"/>
      <c r="AF8" s="10"/>
      <c r="AG8" s="10">
        <v>8628</v>
      </c>
      <c r="AH8" s="10"/>
      <c r="AI8" s="77">
        <f t="shared" si="0"/>
        <v>26327</v>
      </c>
    </row>
    <row r="9" spans="1:35" x14ac:dyDescent="0.25">
      <c r="A9" s="10" t="s">
        <v>52</v>
      </c>
      <c r="B9" s="10">
        <f>B11-B10-B8-B7-B6-B5-B4</f>
        <v>0</v>
      </c>
      <c r="C9" s="10">
        <f t="shared" ref="C9:AH9" si="1">C11-C10-C8-C7-C6-C5-C4</f>
        <v>0</v>
      </c>
      <c r="D9" s="10">
        <f t="shared" si="1"/>
        <v>0</v>
      </c>
      <c r="E9" s="10">
        <f t="shared" si="1"/>
        <v>40568</v>
      </c>
      <c r="F9" s="10">
        <f t="shared" si="1"/>
        <v>0</v>
      </c>
      <c r="G9" s="10">
        <f t="shared" si="1"/>
        <v>0</v>
      </c>
      <c r="H9" s="10">
        <f t="shared" si="1"/>
        <v>200000</v>
      </c>
      <c r="I9" s="10">
        <f t="shared" si="1"/>
        <v>0</v>
      </c>
      <c r="J9" s="10">
        <f t="shared" si="1"/>
        <v>0</v>
      </c>
      <c r="K9" s="149">
        <v>600000</v>
      </c>
      <c r="L9" s="10">
        <f t="shared" si="1"/>
        <v>0</v>
      </c>
      <c r="M9" s="10">
        <f t="shared" si="1"/>
        <v>85105</v>
      </c>
      <c r="N9" s="10">
        <f t="shared" si="1"/>
        <v>315900</v>
      </c>
      <c r="O9" s="10">
        <f t="shared" si="1"/>
        <v>277144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130036</v>
      </c>
      <c r="W9" s="151">
        <v>17257260</v>
      </c>
      <c r="X9" s="153">
        <v>0</v>
      </c>
      <c r="Y9" s="10">
        <f t="shared" si="1"/>
        <v>0</v>
      </c>
      <c r="Z9" s="10">
        <f t="shared" si="1"/>
        <v>207639</v>
      </c>
      <c r="AA9" s="10">
        <f t="shared" si="1"/>
        <v>363550</v>
      </c>
      <c r="AB9" s="10">
        <f t="shared" si="1"/>
        <v>0</v>
      </c>
      <c r="AC9" s="10">
        <f t="shared" si="1"/>
        <v>0</v>
      </c>
      <c r="AD9" s="10">
        <f t="shared" si="1"/>
        <v>0</v>
      </c>
      <c r="AE9" s="10">
        <f t="shared" si="1"/>
        <v>150000</v>
      </c>
      <c r="AF9" s="10">
        <f t="shared" si="1"/>
        <v>445000</v>
      </c>
      <c r="AG9" s="10">
        <f t="shared" si="1"/>
        <v>179064</v>
      </c>
      <c r="AH9" s="10">
        <f t="shared" si="1"/>
        <v>0</v>
      </c>
      <c r="AI9" s="77">
        <f t="shared" si="0"/>
        <v>20251266</v>
      </c>
    </row>
    <row r="10" spans="1:35" x14ac:dyDescent="0.25">
      <c r="A10" s="10" t="s">
        <v>53</v>
      </c>
      <c r="B10" s="10"/>
      <c r="C10" s="10"/>
      <c r="D10" s="10"/>
      <c r="E10" s="10"/>
      <c r="F10" s="10">
        <v>56748070</v>
      </c>
      <c r="G10" s="10"/>
      <c r="H10" s="10">
        <v>5060667</v>
      </c>
      <c r="I10" s="10"/>
      <c r="J10" s="10"/>
      <c r="K10" s="149"/>
      <c r="L10" s="10">
        <v>784632</v>
      </c>
      <c r="M10" s="10"/>
      <c r="N10" s="10">
        <v>9527607</v>
      </c>
      <c r="O10" s="10">
        <v>40453090</v>
      </c>
      <c r="P10" s="10">
        <v>17319373</v>
      </c>
      <c r="Q10" s="10"/>
      <c r="R10" s="10"/>
      <c r="S10" s="10"/>
      <c r="T10" s="10"/>
      <c r="U10" s="10"/>
      <c r="V10" s="10"/>
      <c r="W10" s="151"/>
      <c r="X10" s="153"/>
      <c r="Y10" s="10"/>
      <c r="Z10" s="10">
        <v>8071547</v>
      </c>
      <c r="AA10" s="10"/>
      <c r="AB10" s="10">
        <v>4662751</v>
      </c>
      <c r="AC10" s="10">
        <v>6659883</v>
      </c>
      <c r="AD10" s="10">
        <v>17366324</v>
      </c>
      <c r="AE10" s="10">
        <v>3611775</v>
      </c>
      <c r="AF10" s="10">
        <v>10119742</v>
      </c>
      <c r="AG10" s="10">
        <v>675000</v>
      </c>
      <c r="AH10" s="10">
        <v>4697891</v>
      </c>
      <c r="AI10" s="77">
        <f t="shared" si="0"/>
        <v>185758352</v>
      </c>
    </row>
    <row r="11" spans="1:35" s="8" customFormat="1" x14ac:dyDescent="0.25">
      <c r="A11" s="11" t="s">
        <v>54</v>
      </c>
      <c r="B11" s="11"/>
      <c r="C11" s="11">
        <v>7621442</v>
      </c>
      <c r="D11" s="11">
        <v>39437983</v>
      </c>
      <c r="E11" s="11">
        <v>5558400</v>
      </c>
      <c r="F11" s="11">
        <v>58414267</v>
      </c>
      <c r="G11" s="11">
        <v>1720185</v>
      </c>
      <c r="H11" s="11">
        <v>13040879</v>
      </c>
      <c r="I11" s="11"/>
      <c r="J11" s="11"/>
      <c r="K11" s="150">
        <v>27149180.309999999</v>
      </c>
      <c r="L11" s="11">
        <v>784632</v>
      </c>
      <c r="M11" s="11">
        <v>8362512</v>
      </c>
      <c r="N11" s="11">
        <v>18283989</v>
      </c>
      <c r="O11" s="11">
        <v>56795679</v>
      </c>
      <c r="P11" s="11">
        <v>21840360</v>
      </c>
      <c r="Q11" s="11"/>
      <c r="R11" s="11">
        <v>6483749</v>
      </c>
      <c r="S11" s="11">
        <v>2381367</v>
      </c>
      <c r="T11" s="11">
        <v>3298637</v>
      </c>
      <c r="U11" s="11"/>
      <c r="V11" s="11">
        <v>146569</v>
      </c>
      <c r="W11" s="152">
        <v>166323810</v>
      </c>
      <c r="X11" s="154">
        <v>11389194</v>
      </c>
      <c r="Y11" s="11"/>
      <c r="Z11" s="11">
        <v>15946236</v>
      </c>
      <c r="AA11" s="11">
        <v>554856</v>
      </c>
      <c r="AB11" s="11">
        <v>7212751</v>
      </c>
      <c r="AC11" s="11">
        <v>19985883</v>
      </c>
      <c r="AD11" s="11">
        <v>17368291</v>
      </c>
      <c r="AE11" s="11">
        <v>14131603</v>
      </c>
      <c r="AF11" s="11">
        <v>15421407</v>
      </c>
      <c r="AG11" s="11">
        <v>13105141</v>
      </c>
      <c r="AH11" s="11">
        <v>6374073</v>
      </c>
      <c r="AI11" s="76">
        <f t="shared" si="0"/>
        <v>559133075.30999994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57" customWidth="1"/>
    <col min="2" max="100" width="14.28515625" style="57" customWidth="1"/>
    <col min="101" max="16384" width="9.140625" style="57"/>
  </cols>
  <sheetData>
    <row r="1" spans="1:100" ht="18.75" x14ac:dyDescent="0.3">
      <c r="A1" s="56" t="s">
        <v>302</v>
      </c>
    </row>
    <row r="2" spans="1:100" x14ac:dyDescent="0.25">
      <c r="A2" s="58" t="s">
        <v>46</v>
      </c>
    </row>
    <row r="3" spans="1:100" x14ac:dyDescent="0.25">
      <c r="A3" s="118" t="s">
        <v>0</v>
      </c>
      <c r="B3" s="117" t="s">
        <v>1</v>
      </c>
      <c r="C3" s="117"/>
      <c r="D3" s="117"/>
      <c r="E3" s="117" t="s">
        <v>2</v>
      </c>
      <c r="F3" s="117"/>
      <c r="G3" s="117"/>
      <c r="H3" s="117" t="s">
        <v>3</v>
      </c>
      <c r="I3" s="117"/>
      <c r="J3" s="117"/>
      <c r="K3" s="117" t="s">
        <v>295</v>
      </c>
      <c r="L3" s="117"/>
      <c r="M3" s="117"/>
      <c r="N3" s="117" t="s">
        <v>5</v>
      </c>
      <c r="O3" s="117"/>
      <c r="P3" s="117"/>
      <c r="Q3" s="117" t="s">
        <v>6</v>
      </c>
      <c r="R3" s="117"/>
      <c r="S3" s="117"/>
      <c r="T3" s="117" t="s">
        <v>7</v>
      </c>
      <c r="U3" s="117"/>
      <c r="V3" s="117"/>
      <c r="W3" s="117" t="s">
        <v>309</v>
      </c>
      <c r="X3" s="117"/>
      <c r="Y3" s="117"/>
      <c r="Z3" s="117" t="s">
        <v>9</v>
      </c>
      <c r="AA3" s="117"/>
      <c r="AB3" s="117"/>
      <c r="AC3" s="117" t="s">
        <v>10</v>
      </c>
      <c r="AD3" s="117"/>
      <c r="AE3" s="117"/>
      <c r="AF3" s="117" t="s">
        <v>11</v>
      </c>
      <c r="AG3" s="117"/>
      <c r="AH3" s="117"/>
      <c r="AI3" s="117" t="s">
        <v>12</v>
      </c>
      <c r="AJ3" s="117"/>
      <c r="AK3" s="117"/>
      <c r="AL3" s="117" t="s">
        <v>13</v>
      </c>
      <c r="AM3" s="117"/>
      <c r="AN3" s="117"/>
      <c r="AO3" s="117" t="s">
        <v>14</v>
      </c>
      <c r="AP3" s="117"/>
      <c r="AQ3" s="117"/>
      <c r="AR3" s="117" t="s">
        <v>15</v>
      </c>
      <c r="AS3" s="117"/>
      <c r="AT3" s="117"/>
      <c r="AU3" s="117" t="s">
        <v>16</v>
      </c>
      <c r="AV3" s="117"/>
      <c r="AW3" s="117"/>
      <c r="AX3" s="117" t="s">
        <v>17</v>
      </c>
      <c r="AY3" s="117"/>
      <c r="AZ3" s="117"/>
      <c r="BA3" s="117" t="s">
        <v>18</v>
      </c>
      <c r="BB3" s="117"/>
      <c r="BC3" s="117"/>
      <c r="BD3" s="117" t="s">
        <v>293</v>
      </c>
      <c r="BE3" s="117"/>
      <c r="BF3" s="117"/>
      <c r="BG3" s="117" t="s">
        <v>19</v>
      </c>
      <c r="BH3" s="117"/>
      <c r="BI3" s="117"/>
      <c r="BJ3" s="117" t="s">
        <v>20</v>
      </c>
      <c r="BK3" s="117"/>
      <c r="BL3" s="117"/>
      <c r="BM3" s="117" t="s">
        <v>21</v>
      </c>
      <c r="BN3" s="117"/>
      <c r="BO3" s="117"/>
      <c r="BP3" s="117" t="s">
        <v>22</v>
      </c>
      <c r="BQ3" s="117"/>
      <c r="BR3" s="117"/>
      <c r="BS3" s="117" t="s">
        <v>23</v>
      </c>
      <c r="BT3" s="117"/>
      <c r="BU3" s="117"/>
      <c r="BV3" s="117" t="s">
        <v>24</v>
      </c>
      <c r="BW3" s="117"/>
      <c r="BX3" s="117"/>
      <c r="BY3" s="117" t="s">
        <v>25</v>
      </c>
      <c r="BZ3" s="117"/>
      <c r="CA3" s="117"/>
      <c r="CB3" s="117" t="s">
        <v>26</v>
      </c>
      <c r="CC3" s="117"/>
      <c r="CD3" s="117"/>
      <c r="CE3" s="117" t="s">
        <v>27</v>
      </c>
      <c r="CF3" s="117"/>
      <c r="CG3" s="117"/>
      <c r="CH3" s="117" t="s">
        <v>28</v>
      </c>
      <c r="CI3" s="117"/>
      <c r="CJ3" s="117"/>
      <c r="CK3" s="117" t="s">
        <v>29</v>
      </c>
      <c r="CL3" s="117"/>
      <c r="CM3" s="117"/>
      <c r="CN3" s="117" t="s">
        <v>30</v>
      </c>
      <c r="CO3" s="117"/>
      <c r="CP3" s="117"/>
      <c r="CQ3" s="117" t="s">
        <v>31</v>
      </c>
      <c r="CR3" s="117"/>
      <c r="CS3" s="117"/>
      <c r="CT3" s="117" t="s">
        <v>32</v>
      </c>
      <c r="CU3" s="117"/>
      <c r="CV3" s="117"/>
    </row>
    <row r="4" spans="1:100" x14ac:dyDescent="0.25">
      <c r="A4" s="118"/>
      <c r="B4" s="45" t="s">
        <v>190</v>
      </c>
      <c r="C4" s="45" t="s">
        <v>191</v>
      </c>
      <c r="D4" s="45" t="s">
        <v>162</v>
      </c>
      <c r="E4" s="45" t="s">
        <v>190</v>
      </c>
      <c r="F4" s="45" t="s">
        <v>191</v>
      </c>
      <c r="G4" s="45" t="s">
        <v>162</v>
      </c>
      <c r="H4" s="45" t="s">
        <v>190</v>
      </c>
      <c r="I4" s="45" t="s">
        <v>191</v>
      </c>
      <c r="J4" s="45" t="s">
        <v>162</v>
      </c>
      <c r="K4" s="45" t="s">
        <v>190</v>
      </c>
      <c r="L4" s="45" t="s">
        <v>191</v>
      </c>
      <c r="M4" s="45" t="s">
        <v>162</v>
      </c>
      <c r="N4" s="45" t="s">
        <v>190</v>
      </c>
      <c r="O4" s="45" t="s">
        <v>191</v>
      </c>
      <c r="P4" s="45" t="s">
        <v>162</v>
      </c>
      <c r="Q4" s="45" t="s">
        <v>190</v>
      </c>
      <c r="R4" s="45" t="s">
        <v>191</v>
      </c>
      <c r="S4" s="45" t="s">
        <v>162</v>
      </c>
      <c r="T4" s="45" t="s">
        <v>190</v>
      </c>
      <c r="U4" s="45" t="s">
        <v>191</v>
      </c>
      <c r="V4" s="45" t="s">
        <v>162</v>
      </c>
      <c r="W4" s="45" t="s">
        <v>190</v>
      </c>
      <c r="X4" s="45" t="s">
        <v>191</v>
      </c>
      <c r="Y4" s="45" t="s">
        <v>162</v>
      </c>
      <c r="Z4" s="45" t="s">
        <v>190</v>
      </c>
      <c r="AA4" s="45" t="s">
        <v>191</v>
      </c>
      <c r="AB4" s="45" t="s">
        <v>162</v>
      </c>
      <c r="AC4" s="45" t="s">
        <v>190</v>
      </c>
      <c r="AD4" s="45" t="s">
        <v>191</v>
      </c>
      <c r="AE4" s="45" t="s">
        <v>162</v>
      </c>
      <c r="AF4" s="45" t="s">
        <v>190</v>
      </c>
      <c r="AG4" s="45" t="s">
        <v>191</v>
      </c>
      <c r="AH4" s="45" t="s">
        <v>162</v>
      </c>
      <c r="AI4" s="45" t="s">
        <v>190</v>
      </c>
      <c r="AJ4" s="45" t="s">
        <v>191</v>
      </c>
      <c r="AK4" s="45" t="s">
        <v>162</v>
      </c>
      <c r="AL4" s="45" t="s">
        <v>190</v>
      </c>
      <c r="AM4" s="45" t="s">
        <v>191</v>
      </c>
      <c r="AN4" s="45" t="s">
        <v>162</v>
      </c>
      <c r="AO4" s="45" t="s">
        <v>190</v>
      </c>
      <c r="AP4" s="45" t="s">
        <v>191</v>
      </c>
      <c r="AQ4" s="45" t="s">
        <v>162</v>
      </c>
      <c r="AR4" s="107" t="s">
        <v>190</v>
      </c>
      <c r="AS4" s="107" t="s">
        <v>191</v>
      </c>
      <c r="AT4" s="45" t="s">
        <v>162</v>
      </c>
      <c r="AU4" s="45" t="s">
        <v>190</v>
      </c>
      <c r="AV4" s="45" t="s">
        <v>191</v>
      </c>
      <c r="AW4" s="45" t="s">
        <v>162</v>
      </c>
      <c r="AX4" s="45" t="s">
        <v>190</v>
      </c>
      <c r="AY4" s="45" t="s">
        <v>191</v>
      </c>
      <c r="AZ4" s="45" t="s">
        <v>162</v>
      </c>
      <c r="BA4" s="45" t="s">
        <v>190</v>
      </c>
      <c r="BB4" s="45" t="s">
        <v>191</v>
      </c>
      <c r="BC4" s="45" t="s">
        <v>162</v>
      </c>
      <c r="BD4" s="45" t="s">
        <v>190</v>
      </c>
      <c r="BE4" s="45" t="s">
        <v>191</v>
      </c>
      <c r="BF4" s="45" t="s">
        <v>162</v>
      </c>
      <c r="BG4" s="45" t="s">
        <v>190</v>
      </c>
      <c r="BH4" s="45" t="s">
        <v>191</v>
      </c>
      <c r="BI4" s="45" t="s">
        <v>162</v>
      </c>
      <c r="BJ4" s="45" t="s">
        <v>190</v>
      </c>
      <c r="BK4" s="45" t="s">
        <v>191</v>
      </c>
      <c r="BL4" s="45" t="s">
        <v>162</v>
      </c>
      <c r="BM4" s="45" t="s">
        <v>190</v>
      </c>
      <c r="BN4" s="45" t="s">
        <v>191</v>
      </c>
      <c r="BO4" s="45" t="s">
        <v>162</v>
      </c>
      <c r="BP4" s="45" t="s">
        <v>190</v>
      </c>
      <c r="BQ4" s="45" t="s">
        <v>191</v>
      </c>
      <c r="BR4" s="45" t="s">
        <v>162</v>
      </c>
      <c r="BS4" s="45" t="s">
        <v>190</v>
      </c>
      <c r="BT4" s="45" t="s">
        <v>191</v>
      </c>
      <c r="BU4" s="45" t="s">
        <v>162</v>
      </c>
      <c r="BV4" s="45" t="s">
        <v>190</v>
      </c>
      <c r="BW4" s="45" t="s">
        <v>191</v>
      </c>
      <c r="BX4" s="45" t="s">
        <v>162</v>
      </c>
      <c r="BY4" s="45" t="s">
        <v>190</v>
      </c>
      <c r="BZ4" s="45" t="s">
        <v>191</v>
      </c>
      <c r="CA4" s="45" t="s">
        <v>162</v>
      </c>
      <c r="CB4" s="45" t="s">
        <v>190</v>
      </c>
      <c r="CC4" s="45" t="s">
        <v>191</v>
      </c>
      <c r="CD4" s="45" t="s">
        <v>162</v>
      </c>
      <c r="CE4" s="45" t="s">
        <v>190</v>
      </c>
      <c r="CF4" s="45" t="s">
        <v>191</v>
      </c>
      <c r="CG4" s="45" t="s">
        <v>162</v>
      </c>
      <c r="CH4" s="45" t="s">
        <v>190</v>
      </c>
      <c r="CI4" s="45" t="s">
        <v>191</v>
      </c>
      <c r="CJ4" s="45" t="s">
        <v>162</v>
      </c>
      <c r="CK4" s="45" t="s">
        <v>190</v>
      </c>
      <c r="CL4" s="45" t="s">
        <v>191</v>
      </c>
      <c r="CM4" s="45" t="s">
        <v>162</v>
      </c>
      <c r="CN4" s="45" t="s">
        <v>190</v>
      </c>
      <c r="CO4" s="45" t="s">
        <v>191</v>
      </c>
      <c r="CP4" s="45" t="s">
        <v>162</v>
      </c>
      <c r="CQ4" s="72" t="s">
        <v>190</v>
      </c>
      <c r="CR4" s="72" t="s">
        <v>191</v>
      </c>
      <c r="CS4" s="72" t="s">
        <v>162</v>
      </c>
      <c r="CT4" s="45" t="s">
        <v>190</v>
      </c>
      <c r="CU4" s="45" t="s">
        <v>191</v>
      </c>
      <c r="CV4" s="45" t="s">
        <v>162</v>
      </c>
    </row>
    <row r="5" spans="1:100" x14ac:dyDescent="0.25">
      <c r="A5" s="59" t="s">
        <v>192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</row>
    <row r="6" spans="1:100" ht="30" x14ac:dyDescent="0.25">
      <c r="A6" s="61" t="s">
        <v>193</v>
      </c>
      <c r="B6" s="60">
        <v>502015</v>
      </c>
      <c r="C6" s="60">
        <v>678234</v>
      </c>
      <c r="D6" s="60">
        <f t="shared" ref="D6:D19" si="0">B6+C6</f>
        <v>1180249</v>
      </c>
      <c r="E6" s="60">
        <v>848116</v>
      </c>
      <c r="F6" s="60">
        <v>1125579</v>
      </c>
      <c r="G6" s="60">
        <f>F6+E6</f>
        <v>1973695</v>
      </c>
      <c r="H6" s="60"/>
      <c r="I6" s="60"/>
      <c r="J6" s="60">
        <v>13180314</v>
      </c>
      <c r="K6" s="60">
        <v>2167971</v>
      </c>
      <c r="L6" s="60">
        <v>4231297</v>
      </c>
      <c r="M6" s="60">
        <f>L6+K6</f>
        <v>6399268</v>
      </c>
      <c r="N6" s="60">
        <v>16538010</v>
      </c>
      <c r="O6" s="60">
        <v>63285995</v>
      </c>
      <c r="P6" s="60">
        <f>O6+N6</f>
        <v>79824005</v>
      </c>
      <c r="Q6" s="60">
        <v>1668876</v>
      </c>
      <c r="R6" s="60">
        <v>10167124</v>
      </c>
      <c r="S6" s="60">
        <f>R6+Q6</f>
        <v>11836000</v>
      </c>
      <c r="T6" s="60">
        <v>5067652</v>
      </c>
      <c r="U6" s="60">
        <v>58085655</v>
      </c>
      <c r="V6" s="60">
        <f>U6+T6</f>
        <v>63153307</v>
      </c>
      <c r="W6" s="60">
        <v>463238</v>
      </c>
      <c r="X6" s="60">
        <v>357949</v>
      </c>
      <c r="Y6" s="60">
        <f>X6+W6</f>
        <v>821187</v>
      </c>
      <c r="Z6" s="60"/>
      <c r="AA6" s="60">
        <v>776122</v>
      </c>
      <c r="AB6" s="60">
        <f>AA6+Z6</f>
        <v>776122</v>
      </c>
      <c r="AC6" s="60">
        <f>9502798.64+4570120.44</f>
        <v>14072919.080000002</v>
      </c>
      <c r="AD6" s="60">
        <f>13674759.03+6576514.78</f>
        <v>20251273.809999999</v>
      </c>
      <c r="AE6" s="60">
        <f>AD6+AC6</f>
        <v>34324192.890000001</v>
      </c>
      <c r="AF6" s="60">
        <v>2735878</v>
      </c>
      <c r="AG6" s="60">
        <v>12491603</v>
      </c>
      <c r="AH6" s="60">
        <f>AG6+AF6</f>
        <v>15227481</v>
      </c>
      <c r="AI6" s="60">
        <v>2640685</v>
      </c>
      <c r="AJ6" s="60">
        <v>16095798</v>
      </c>
      <c r="AK6" s="60">
        <f>AJ6+AI6</f>
        <v>18736483</v>
      </c>
      <c r="AL6" s="60">
        <v>4470701</v>
      </c>
      <c r="AM6" s="60">
        <v>30829976</v>
      </c>
      <c r="AN6" s="60">
        <f>AM6+AL6</f>
        <v>35300677</v>
      </c>
      <c r="AO6" s="60">
        <v>17460636</v>
      </c>
      <c r="AP6" s="60">
        <v>61419698</v>
      </c>
      <c r="AQ6" s="60">
        <f>AP6+AO6</f>
        <v>78880334</v>
      </c>
      <c r="AR6" s="60">
        <v>6404247</v>
      </c>
      <c r="AS6" s="10">
        <v>26762431</v>
      </c>
      <c r="AT6" s="60">
        <f>AS6+AR6</f>
        <v>33166678</v>
      </c>
      <c r="AU6" s="60">
        <v>459374</v>
      </c>
      <c r="AV6" s="60">
        <v>1820608</v>
      </c>
      <c r="AW6" s="60">
        <f>AV6+AU6</f>
        <v>2279982</v>
      </c>
      <c r="AX6" s="60">
        <v>1123267</v>
      </c>
      <c r="AY6" s="60">
        <v>3744033</v>
      </c>
      <c r="AZ6" s="60">
        <f>AY6+AX6</f>
        <v>4867300</v>
      </c>
      <c r="BA6" s="60">
        <v>986293</v>
      </c>
      <c r="BB6" s="60">
        <v>6192282</v>
      </c>
      <c r="BC6" s="60">
        <f>BB6+BA6</f>
        <v>7178575</v>
      </c>
      <c r="BD6" s="60">
        <v>401972</v>
      </c>
      <c r="BE6" s="60">
        <v>1054718</v>
      </c>
      <c r="BF6" s="60">
        <f>BE6+BD6</f>
        <v>1456690</v>
      </c>
      <c r="BG6" s="60">
        <v>864042</v>
      </c>
      <c r="BH6" s="60">
        <v>1196157</v>
      </c>
      <c r="BI6" s="60">
        <f>BH6+BG6</f>
        <v>2060199</v>
      </c>
      <c r="BJ6" s="60"/>
      <c r="BK6" s="162">
        <v>76050671</v>
      </c>
      <c r="BL6" s="60">
        <f>BK6+BJ6</f>
        <v>76050671</v>
      </c>
      <c r="BM6" s="60">
        <v>76280574</v>
      </c>
      <c r="BN6" s="60">
        <v>138481729</v>
      </c>
      <c r="BO6" s="60">
        <f>BN6+BM6</f>
        <v>214762303</v>
      </c>
      <c r="BP6" s="60"/>
      <c r="BQ6" s="60"/>
      <c r="BR6" s="60">
        <v>101474678</v>
      </c>
      <c r="BS6" s="60">
        <v>350665</v>
      </c>
      <c r="BT6" s="60">
        <v>893200</v>
      </c>
      <c r="BU6" s="60">
        <f>BT6+BS6</f>
        <v>1243865</v>
      </c>
      <c r="BV6" s="60">
        <v>3037756</v>
      </c>
      <c r="BW6" s="60">
        <v>19507131</v>
      </c>
      <c r="BX6" s="60">
        <f>BW6+BV6</f>
        <v>22544887</v>
      </c>
      <c r="BY6" s="60"/>
      <c r="BZ6" s="60"/>
      <c r="CA6" s="60">
        <v>4247299</v>
      </c>
      <c r="CB6" s="60">
        <v>4003154</v>
      </c>
      <c r="CC6" s="60">
        <v>16527873</v>
      </c>
      <c r="CD6" s="60">
        <f>CC6+CB6</f>
        <v>20531027</v>
      </c>
      <c r="CE6" s="60">
        <v>3709658</v>
      </c>
      <c r="CF6" s="60">
        <v>12570091</v>
      </c>
      <c r="CG6" s="60">
        <f>CF6+CE6</f>
        <v>16279749</v>
      </c>
      <c r="CH6" s="60">
        <v>104053</v>
      </c>
      <c r="CI6" s="60">
        <v>1727271</v>
      </c>
      <c r="CJ6" s="60">
        <f>CI6+CH6</f>
        <v>1831324</v>
      </c>
      <c r="CK6" s="60">
        <v>7041701</v>
      </c>
      <c r="CL6" s="60">
        <v>9638512</v>
      </c>
      <c r="CM6" s="60">
        <f>CL6+CK6</f>
        <v>16680213</v>
      </c>
      <c r="CN6" s="60">
        <v>6552955</v>
      </c>
      <c r="CO6" s="60">
        <v>35156277</v>
      </c>
      <c r="CP6" s="60">
        <f>CO6+CN6</f>
        <v>41709232</v>
      </c>
      <c r="CQ6" s="60"/>
      <c r="CR6" s="60"/>
      <c r="CS6" s="60">
        <v>113995276</v>
      </c>
      <c r="CT6" s="60">
        <v>2327948</v>
      </c>
      <c r="CU6" s="60">
        <v>6470567</v>
      </c>
      <c r="CV6" s="60">
        <f>CU6+CT6</f>
        <v>8798515</v>
      </c>
    </row>
    <row r="7" spans="1:100" ht="15" customHeight="1" x14ac:dyDescent="0.25">
      <c r="A7" s="61" t="s">
        <v>194</v>
      </c>
      <c r="B7" s="60"/>
      <c r="C7" s="60"/>
      <c r="D7" s="60">
        <f t="shared" si="0"/>
        <v>0</v>
      </c>
      <c r="E7" s="60">
        <v>1108696</v>
      </c>
      <c r="F7" s="60">
        <v>1508474</v>
      </c>
      <c r="G7" s="60">
        <f t="shared" ref="G7:G19" si="1">F7+E7</f>
        <v>2617170</v>
      </c>
      <c r="H7" s="60"/>
      <c r="I7" s="60"/>
      <c r="J7" s="60">
        <v>15627855</v>
      </c>
      <c r="K7" s="60"/>
      <c r="L7" s="60"/>
      <c r="M7" s="60">
        <f t="shared" ref="M7:M19" si="2">L7+K7</f>
        <v>0</v>
      </c>
      <c r="N7" s="60"/>
      <c r="O7" s="60"/>
      <c r="P7" s="60">
        <f t="shared" ref="P7:P19" si="3">O7+N7</f>
        <v>0</v>
      </c>
      <c r="Q7" s="60">
        <v>633185</v>
      </c>
      <c r="R7" s="60">
        <v>3857486</v>
      </c>
      <c r="S7" s="60">
        <f t="shared" ref="S7:S19" si="4">R7+Q7</f>
        <v>4490671</v>
      </c>
      <c r="T7" s="60"/>
      <c r="U7" s="60"/>
      <c r="V7" s="60">
        <f t="shared" ref="V7:V19" si="5">U7+T7</f>
        <v>0</v>
      </c>
      <c r="W7" s="60">
        <v>100146</v>
      </c>
      <c r="X7" s="60">
        <v>150137</v>
      </c>
      <c r="Y7" s="60">
        <f t="shared" ref="Y7:Y19" si="6">X7+W7</f>
        <v>250283</v>
      </c>
      <c r="Z7" s="60">
        <v>3074</v>
      </c>
      <c r="AA7" s="60">
        <v>310210</v>
      </c>
      <c r="AB7" s="60">
        <f t="shared" ref="AB7:AB19" si="7">AA7+Z7</f>
        <v>313284</v>
      </c>
      <c r="AC7" s="60">
        <v>1004288.02</v>
      </c>
      <c r="AD7" s="60">
        <v>1445194.96</v>
      </c>
      <c r="AE7" s="60">
        <f t="shared" ref="AE7:AE19" si="8">AD7+AC7</f>
        <v>2449482.98</v>
      </c>
      <c r="AF7" s="60"/>
      <c r="AG7" s="60"/>
      <c r="AH7" s="60">
        <f t="shared" ref="AH7:AH19" si="9">AG7+AF7</f>
        <v>0</v>
      </c>
      <c r="AI7" s="60">
        <v>209838</v>
      </c>
      <c r="AJ7" s="60">
        <v>1415237</v>
      </c>
      <c r="AK7" s="60">
        <f t="shared" ref="AK7:AK19" si="10">AJ7+AI7</f>
        <v>1625075</v>
      </c>
      <c r="AL7" s="60">
        <v>1706226</v>
      </c>
      <c r="AM7" s="60">
        <v>11766139</v>
      </c>
      <c r="AN7" s="60">
        <f t="shared" ref="AN7:AN19" si="11">AM7+AL7</f>
        <v>13472365</v>
      </c>
      <c r="AO7" s="60"/>
      <c r="AP7" s="60"/>
      <c r="AQ7" s="60">
        <f t="shared" ref="AQ7:AQ19" si="12">AP7+AO7</f>
        <v>0</v>
      </c>
      <c r="AR7" s="10">
        <v>444075</v>
      </c>
      <c r="AS7" s="10">
        <v>1855725</v>
      </c>
      <c r="AT7" s="60">
        <f t="shared" ref="AT7:AT19" si="13">AS7+AR7</f>
        <v>2299800</v>
      </c>
      <c r="AU7" s="60"/>
      <c r="AV7" s="60"/>
      <c r="AW7" s="60">
        <f t="shared" ref="AW7:AW19" si="14">AV7+AU7</f>
        <v>0</v>
      </c>
      <c r="AX7" s="60">
        <v>758793</v>
      </c>
      <c r="AY7" s="60">
        <v>2529180</v>
      </c>
      <c r="AZ7" s="60">
        <f t="shared" ref="AZ7:AZ19" si="15">AY7+AX7</f>
        <v>3287973</v>
      </c>
      <c r="BA7" s="60">
        <v>204272</v>
      </c>
      <c r="BB7" s="60">
        <v>1282487</v>
      </c>
      <c r="BC7" s="60">
        <f t="shared" ref="BC7:BC19" si="16">BB7+BA7</f>
        <v>1486759</v>
      </c>
      <c r="BD7" s="60">
        <v>154283</v>
      </c>
      <c r="BE7" s="60">
        <v>564596</v>
      </c>
      <c r="BF7" s="60">
        <f t="shared" ref="BF7:BF19" si="17">BE7+BD7</f>
        <v>718879</v>
      </c>
      <c r="BG7" s="60">
        <v>763748</v>
      </c>
      <c r="BH7" s="60">
        <v>358591</v>
      </c>
      <c r="BI7" s="60">
        <f t="shared" ref="BI7:BI19" si="18">BH7+BG7</f>
        <v>1122339</v>
      </c>
      <c r="BJ7" s="60"/>
      <c r="BK7" s="162">
        <v>278325</v>
      </c>
      <c r="BL7" s="60">
        <f t="shared" ref="BL7:BL19" si="19">BK7+BJ7</f>
        <v>278325</v>
      </c>
      <c r="BM7" s="60"/>
      <c r="BN7" s="60"/>
      <c r="BO7" s="60">
        <f t="shared" ref="BO7:BO19" si="20">BN7+BM7</f>
        <v>0</v>
      </c>
      <c r="BP7" s="60"/>
      <c r="BQ7" s="60"/>
      <c r="BR7" s="60">
        <v>659310</v>
      </c>
      <c r="BS7" s="60"/>
      <c r="BT7" s="60"/>
      <c r="BU7" s="60">
        <f t="shared" ref="BU7:BU19" si="21">BT7+BS7</f>
        <v>0</v>
      </c>
      <c r="BV7" s="60">
        <v>1446739</v>
      </c>
      <c r="BW7" s="60">
        <v>9290320</v>
      </c>
      <c r="BX7" s="60">
        <f t="shared" ref="BX7:BX19" si="22">BW7+BV7</f>
        <v>10737059</v>
      </c>
      <c r="BY7" s="60"/>
      <c r="BZ7" s="60"/>
      <c r="CA7" s="60">
        <v>1229328</v>
      </c>
      <c r="CB7" s="60"/>
      <c r="CC7" s="60"/>
      <c r="CD7" s="60">
        <f t="shared" ref="CD7:CD19" si="23">CC7+CB7</f>
        <v>0</v>
      </c>
      <c r="CE7" s="60">
        <v>751975</v>
      </c>
      <c r="CF7" s="60">
        <v>6650363</v>
      </c>
      <c r="CG7" s="60">
        <f t="shared" ref="CG7:CG19" si="24">CF7+CE7</f>
        <v>7402338</v>
      </c>
      <c r="CH7" s="60">
        <v>179100</v>
      </c>
      <c r="CI7" s="60"/>
      <c r="CJ7" s="60">
        <f t="shared" ref="CJ7:CJ19" si="25">CI7+CH7</f>
        <v>179100</v>
      </c>
      <c r="CK7" s="60">
        <v>3263239</v>
      </c>
      <c r="CL7" s="60">
        <v>4466643</v>
      </c>
      <c r="CM7" s="60">
        <f t="shared" ref="CM7:CM19" si="26">CL7+CK7</f>
        <v>7729882</v>
      </c>
      <c r="CN7" s="60"/>
      <c r="CO7" s="60"/>
      <c r="CP7" s="60">
        <f t="shared" ref="CP7:CP19" si="27">CO7+CN7</f>
        <v>0</v>
      </c>
      <c r="CQ7" s="60"/>
      <c r="CR7" s="60"/>
      <c r="CS7" s="60">
        <f t="shared" ref="CS7:CS17" si="28">CR7+CQ7</f>
        <v>0</v>
      </c>
      <c r="CT7" s="60"/>
      <c r="CU7" s="60"/>
      <c r="CV7" s="60">
        <f t="shared" ref="CV7:CV19" si="29">CU7+CT7</f>
        <v>0</v>
      </c>
    </row>
    <row r="8" spans="1:100" ht="15" customHeight="1" x14ac:dyDescent="0.25">
      <c r="A8" s="61" t="s">
        <v>195</v>
      </c>
      <c r="B8" s="60"/>
      <c r="C8" s="60"/>
      <c r="D8" s="60">
        <f t="shared" si="0"/>
        <v>0</v>
      </c>
      <c r="E8" s="60"/>
      <c r="F8" s="60"/>
      <c r="G8" s="60">
        <f t="shared" si="1"/>
        <v>0</v>
      </c>
      <c r="H8" s="60"/>
      <c r="I8" s="60"/>
      <c r="J8" s="60">
        <f t="shared" ref="J8:J17" si="30">I8+H8</f>
        <v>0</v>
      </c>
      <c r="K8" s="60"/>
      <c r="L8" s="60"/>
      <c r="M8" s="60">
        <f t="shared" si="2"/>
        <v>0</v>
      </c>
      <c r="N8" s="60"/>
      <c r="O8" s="60"/>
      <c r="P8" s="60">
        <f t="shared" si="3"/>
        <v>0</v>
      </c>
      <c r="Q8" s="60"/>
      <c r="R8" s="60"/>
      <c r="S8" s="60">
        <f t="shared" si="4"/>
        <v>0</v>
      </c>
      <c r="T8" s="60"/>
      <c r="U8" s="60"/>
      <c r="V8" s="60">
        <f t="shared" si="5"/>
        <v>0</v>
      </c>
      <c r="W8" s="60"/>
      <c r="X8" s="60"/>
      <c r="Y8" s="60">
        <f t="shared" si="6"/>
        <v>0</v>
      </c>
      <c r="Z8" s="60"/>
      <c r="AA8" s="60"/>
      <c r="AB8" s="60">
        <f t="shared" si="7"/>
        <v>0</v>
      </c>
      <c r="AC8" s="60"/>
      <c r="AD8" s="60"/>
      <c r="AE8" s="60">
        <f t="shared" si="8"/>
        <v>0</v>
      </c>
      <c r="AF8" s="60"/>
      <c r="AG8" s="60"/>
      <c r="AH8" s="60">
        <f t="shared" si="9"/>
        <v>0</v>
      </c>
      <c r="AI8" s="60"/>
      <c r="AJ8" s="60"/>
      <c r="AK8" s="60">
        <f t="shared" si="10"/>
        <v>0</v>
      </c>
      <c r="AL8" s="60"/>
      <c r="AM8" s="60"/>
      <c r="AN8" s="60">
        <f t="shared" si="11"/>
        <v>0</v>
      </c>
      <c r="AO8" s="60"/>
      <c r="AP8" s="60"/>
      <c r="AQ8" s="60">
        <f t="shared" si="12"/>
        <v>0</v>
      </c>
      <c r="AR8" s="60"/>
      <c r="AS8" s="60"/>
      <c r="AT8" s="60">
        <f t="shared" si="13"/>
        <v>0</v>
      </c>
      <c r="AU8" s="60"/>
      <c r="AV8" s="60"/>
      <c r="AW8" s="60">
        <f t="shared" si="14"/>
        <v>0</v>
      </c>
      <c r="AX8" s="60"/>
      <c r="AY8" s="60"/>
      <c r="AZ8" s="60">
        <f t="shared" si="15"/>
        <v>0</v>
      </c>
      <c r="BA8" s="60"/>
      <c r="BB8" s="60"/>
      <c r="BC8" s="60">
        <f t="shared" si="16"/>
        <v>0</v>
      </c>
      <c r="BD8" s="60"/>
      <c r="BE8" s="60"/>
      <c r="BF8" s="60">
        <f t="shared" si="17"/>
        <v>0</v>
      </c>
      <c r="BG8" s="60"/>
      <c r="BH8" s="60"/>
      <c r="BI8" s="60">
        <f t="shared" si="18"/>
        <v>0</v>
      </c>
      <c r="BJ8" s="60"/>
      <c r="BK8" s="60"/>
      <c r="BL8" s="60">
        <f t="shared" si="19"/>
        <v>0</v>
      </c>
      <c r="BM8" s="60"/>
      <c r="BN8" s="60"/>
      <c r="BO8" s="60">
        <f t="shared" si="20"/>
        <v>0</v>
      </c>
      <c r="BP8" s="60"/>
      <c r="BQ8" s="60"/>
      <c r="BR8" s="60">
        <f t="shared" ref="BR8:BR19" si="31">BQ8+BP8</f>
        <v>0</v>
      </c>
      <c r="BS8" s="60"/>
      <c r="BT8" s="60"/>
      <c r="BU8" s="60">
        <f t="shared" si="21"/>
        <v>0</v>
      </c>
      <c r="BV8" s="60"/>
      <c r="BW8" s="60"/>
      <c r="BX8" s="60">
        <f t="shared" si="22"/>
        <v>0</v>
      </c>
      <c r="BY8" s="60"/>
      <c r="BZ8" s="60"/>
      <c r="CA8" s="60">
        <f t="shared" ref="CA8:CA17" si="32">BZ8+BY8</f>
        <v>0</v>
      </c>
      <c r="CB8" s="60"/>
      <c r="CC8" s="60"/>
      <c r="CD8" s="60">
        <f t="shared" si="23"/>
        <v>0</v>
      </c>
      <c r="CE8" s="60"/>
      <c r="CF8" s="60"/>
      <c r="CG8" s="60">
        <f t="shared" si="24"/>
        <v>0</v>
      </c>
      <c r="CH8" s="60"/>
      <c r="CI8" s="60"/>
      <c r="CJ8" s="60">
        <f t="shared" si="25"/>
        <v>0</v>
      </c>
      <c r="CK8" s="60"/>
      <c r="CL8" s="60"/>
      <c r="CM8" s="60">
        <f t="shared" si="26"/>
        <v>0</v>
      </c>
      <c r="CN8" s="60"/>
      <c r="CO8" s="60"/>
      <c r="CP8" s="60">
        <f t="shared" si="27"/>
        <v>0</v>
      </c>
      <c r="CQ8" s="60"/>
      <c r="CR8" s="60"/>
      <c r="CS8" s="60">
        <f t="shared" si="28"/>
        <v>0</v>
      </c>
      <c r="CT8" s="60"/>
      <c r="CU8" s="60"/>
      <c r="CV8" s="60">
        <f t="shared" si="29"/>
        <v>0</v>
      </c>
    </row>
    <row r="9" spans="1:100" ht="15" customHeight="1" x14ac:dyDescent="0.25">
      <c r="A9" s="61" t="s">
        <v>196</v>
      </c>
      <c r="B9" s="60"/>
      <c r="C9" s="60"/>
      <c r="D9" s="60">
        <f t="shared" si="0"/>
        <v>0</v>
      </c>
      <c r="E9" s="60"/>
      <c r="F9" s="60"/>
      <c r="G9" s="60">
        <f t="shared" si="1"/>
        <v>0</v>
      </c>
      <c r="H9" s="60"/>
      <c r="I9" s="60"/>
      <c r="J9" s="60">
        <f t="shared" si="30"/>
        <v>0</v>
      </c>
      <c r="K9" s="60"/>
      <c r="L9" s="60"/>
      <c r="M9" s="60">
        <f t="shared" si="2"/>
        <v>0</v>
      </c>
      <c r="N9" s="60"/>
      <c r="O9" s="60"/>
      <c r="P9" s="60">
        <f t="shared" si="3"/>
        <v>0</v>
      </c>
      <c r="Q9" s="60"/>
      <c r="R9" s="60"/>
      <c r="S9" s="60">
        <f t="shared" si="4"/>
        <v>0</v>
      </c>
      <c r="T9" s="60"/>
      <c r="U9" s="60"/>
      <c r="V9" s="60">
        <f t="shared" si="5"/>
        <v>0</v>
      </c>
      <c r="W9" s="60"/>
      <c r="X9" s="60"/>
      <c r="Y9" s="60">
        <f t="shared" si="6"/>
        <v>0</v>
      </c>
      <c r="Z9" s="60"/>
      <c r="AA9" s="60"/>
      <c r="AB9" s="60">
        <f t="shared" si="7"/>
        <v>0</v>
      </c>
      <c r="AC9" s="60"/>
      <c r="AD9" s="60"/>
      <c r="AE9" s="60">
        <f t="shared" si="8"/>
        <v>0</v>
      </c>
      <c r="AF9" s="60"/>
      <c r="AG9" s="60"/>
      <c r="AH9" s="60">
        <f t="shared" si="9"/>
        <v>0</v>
      </c>
      <c r="AI9" s="60"/>
      <c r="AJ9" s="60"/>
      <c r="AK9" s="60">
        <f t="shared" si="10"/>
        <v>0</v>
      </c>
      <c r="AL9" s="60"/>
      <c r="AM9" s="60"/>
      <c r="AN9" s="60">
        <f t="shared" si="11"/>
        <v>0</v>
      </c>
      <c r="AO9" s="60"/>
      <c r="AP9" s="60"/>
      <c r="AQ9" s="60">
        <f t="shared" si="12"/>
        <v>0</v>
      </c>
      <c r="AR9" s="60"/>
      <c r="AS9" s="60"/>
      <c r="AT9" s="60">
        <f t="shared" si="13"/>
        <v>0</v>
      </c>
      <c r="AU9" s="60"/>
      <c r="AV9" s="60"/>
      <c r="AW9" s="60">
        <f t="shared" si="14"/>
        <v>0</v>
      </c>
      <c r="AX9" s="60"/>
      <c r="AY9" s="60"/>
      <c r="AZ9" s="60">
        <f t="shared" si="15"/>
        <v>0</v>
      </c>
      <c r="BA9" s="60"/>
      <c r="BB9" s="60"/>
      <c r="BC9" s="60">
        <f t="shared" si="16"/>
        <v>0</v>
      </c>
      <c r="BD9" s="60"/>
      <c r="BE9" s="60"/>
      <c r="BF9" s="60">
        <f t="shared" si="17"/>
        <v>0</v>
      </c>
      <c r="BG9" s="60"/>
      <c r="BH9" s="60"/>
      <c r="BI9" s="60">
        <f t="shared" si="18"/>
        <v>0</v>
      </c>
      <c r="BJ9" s="60"/>
      <c r="BK9" s="60"/>
      <c r="BL9" s="60">
        <f t="shared" si="19"/>
        <v>0</v>
      </c>
      <c r="BM9" s="60"/>
      <c r="BN9" s="60"/>
      <c r="BO9" s="60">
        <f t="shared" si="20"/>
        <v>0</v>
      </c>
      <c r="BP9" s="60"/>
      <c r="BQ9" s="60"/>
      <c r="BR9" s="60">
        <f t="shared" si="31"/>
        <v>0</v>
      </c>
      <c r="BS9" s="60"/>
      <c r="BT9" s="60"/>
      <c r="BU9" s="60">
        <f t="shared" si="21"/>
        <v>0</v>
      </c>
      <c r="BV9" s="60"/>
      <c r="BW9" s="60"/>
      <c r="BX9" s="60">
        <f t="shared" si="22"/>
        <v>0</v>
      </c>
      <c r="BY9" s="60"/>
      <c r="BZ9" s="60"/>
      <c r="CA9" s="60">
        <f t="shared" si="32"/>
        <v>0</v>
      </c>
      <c r="CB9" s="60"/>
      <c r="CC9" s="60"/>
      <c r="CD9" s="60">
        <f t="shared" si="23"/>
        <v>0</v>
      </c>
      <c r="CE9" s="60"/>
      <c r="CF9" s="60"/>
      <c r="CG9" s="60">
        <f t="shared" si="24"/>
        <v>0</v>
      </c>
      <c r="CH9" s="60"/>
      <c r="CI9" s="60"/>
      <c r="CJ9" s="60">
        <f t="shared" si="25"/>
        <v>0</v>
      </c>
      <c r="CK9" s="60"/>
      <c r="CL9" s="60"/>
      <c r="CM9" s="60">
        <f t="shared" si="26"/>
        <v>0</v>
      </c>
      <c r="CN9" s="60"/>
      <c r="CO9" s="60"/>
      <c r="CP9" s="60">
        <f t="shared" si="27"/>
        <v>0</v>
      </c>
      <c r="CQ9" s="60"/>
      <c r="CR9" s="60"/>
      <c r="CS9" s="60">
        <f t="shared" si="28"/>
        <v>0</v>
      </c>
      <c r="CT9" s="60"/>
      <c r="CU9" s="60"/>
      <c r="CV9" s="60">
        <f t="shared" si="29"/>
        <v>0</v>
      </c>
    </row>
    <row r="10" spans="1:100" ht="15" customHeight="1" x14ac:dyDescent="0.25">
      <c r="A10" s="61" t="s">
        <v>197</v>
      </c>
      <c r="B10" s="60"/>
      <c r="C10" s="60"/>
      <c r="D10" s="60">
        <f t="shared" si="0"/>
        <v>0</v>
      </c>
      <c r="E10" s="60"/>
      <c r="F10" s="60"/>
      <c r="G10" s="60">
        <f t="shared" si="1"/>
        <v>0</v>
      </c>
      <c r="H10" s="60"/>
      <c r="I10" s="60"/>
      <c r="J10" s="60">
        <v>1989344</v>
      </c>
      <c r="K10" s="60"/>
      <c r="L10" s="60"/>
      <c r="M10" s="60">
        <f t="shared" si="2"/>
        <v>0</v>
      </c>
      <c r="N10" s="60">
        <v>4054004</v>
      </c>
      <c r="O10" s="60">
        <v>12555851</v>
      </c>
      <c r="P10" s="60">
        <f t="shared" si="3"/>
        <v>16609855</v>
      </c>
      <c r="Q10" s="60">
        <v>256884</v>
      </c>
      <c r="R10" s="60">
        <v>1564987</v>
      </c>
      <c r="S10" s="60">
        <f t="shared" si="4"/>
        <v>1821871</v>
      </c>
      <c r="T10" s="60">
        <v>60548</v>
      </c>
      <c r="U10" s="60">
        <v>694008</v>
      </c>
      <c r="V10" s="60">
        <f t="shared" si="5"/>
        <v>754556</v>
      </c>
      <c r="W10" s="60"/>
      <c r="X10" s="60"/>
      <c r="Y10" s="60">
        <f t="shared" si="6"/>
        <v>0</v>
      </c>
      <c r="Z10" s="60"/>
      <c r="AA10" s="60"/>
      <c r="AB10" s="60">
        <f t="shared" si="7"/>
        <v>0</v>
      </c>
      <c r="AC10" s="60">
        <v>4755500.59</v>
      </c>
      <c r="AD10" s="60">
        <v>6843281.3300000001</v>
      </c>
      <c r="AE10" s="60">
        <f t="shared" si="8"/>
        <v>11598781.92</v>
      </c>
      <c r="AF10" s="60">
        <v>17796</v>
      </c>
      <c r="AG10" s="60">
        <v>81254</v>
      </c>
      <c r="AH10" s="60">
        <f t="shared" si="9"/>
        <v>99050</v>
      </c>
      <c r="AI10" s="60">
        <v>880818</v>
      </c>
      <c r="AJ10" s="60">
        <v>1072595</v>
      </c>
      <c r="AK10" s="60">
        <f t="shared" si="10"/>
        <v>1953413</v>
      </c>
      <c r="AL10" s="60">
        <v>279322</v>
      </c>
      <c r="AM10" s="60">
        <v>1926203</v>
      </c>
      <c r="AN10" s="60">
        <f t="shared" si="11"/>
        <v>2205525</v>
      </c>
      <c r="AO10" s="60">
        <v>4309416</v>
      </c>
      <c r="AP10" s="60">
        <v>15158841</v>
      </c>
      <c r="AQ10" s="60">
        <f t="shared" si="12"/>
        <v>19468257</v>
      </c>
      <c r="AR10" s="10">
        <v>3525</v>
      </c>
      <c r="AS10" s="10">
        <v>14730</v>
      </c>
      <c r="AT10" s="60">
        <f t="shared" si="13"/>
        <v>18255</v>
      </c>
      <c r="AU10" s="60"/>
      <c r="AV10" s="60"/>
      <c r="AW10" s="60">
        <f t="shared" si="14"/>
        <v>0</v>
      </c>
      <c r="AX10" s="60"/>
      <c r="AY10" s="60"/>
      <c r="AZ10" s="60">
        <f t="shared" si="15"/>
        <v>0</v>
      </c>
      <c r="BA10" s="60"/>
      <c r="BB10" s="60"/>
      <c r="BC10" s="60">
        <f t="shared" si="16"/>
        <v>0</v>
      </c>
      <c r="BD10" s="60"/>
      <c r="BE10" s="60"/>
      <c r="BF10" s="60">
        <f t="shared" si="17"/>
        <v>0</v>
      </c>
      <c r="BG10" s="60"/>
      <c r="BH10" s="60"/>
      <c r="BI10" s="60">
        <f t="shared" si="18"/>
        <v>0</v>
      </c>
      <c r="BJ10" s="60"/>
      <c r="BK10" s="162">
        <v>64000490</v>
      </c>
      <c r="BL10" s="60">
        <f t="shared" si="19"/>
        <v>64000490</v>
      </c>
      <c r="BM10" s="60">
        <v>54911727</v>
      </c>
      <c r="BN10" s="60">
        <v>109968876</v>
      </c>
      <c r="BO10" s="60">
        <f t="shared" si="20"/>
        <v>164880603</v>
      </c>
      <c r="BP10" s="60"/>
      <c r="BQ10" s="60"/>
      <c r="BR10" s="60">
        <v>49023988</v>
      </c>
      <c r="BS10" s="60"/>
      <c r="BT10" s="60"/>
      <c r="BU10" s="60">
        <f t="shared" si="21"/>
        <v>0</v>
      </c>
      <c r="BV10" s="60"/>
      <c r="BW10" s="60"/>
      <c r="BX10" s="60">
        <f t="shared" si="22"/>
        <v>0</v>
      </c>
      <c r="BY10" s="60"/>
      <c r="BZ10" s="60"/>
      <c r="CA10" s="60">
        <v>8133</v>
      </c>
      <c r="CB10" s="60"/>
      <c r="CC10" s="60"/>
      <c r="CD10" s="60">
        <f t="shared" si="23"/>
        <v>0</v>
      </c>
      <c r="CE10" s="60">
        <v>2105310</v>
      </c>
      <c r="CF10" s="60"/>
      <c r="CG10" s="60">
        <f t="shared" si="24"/>
        <v>2105310</v>
      </c>
      <c r="CH10" s="60">
        <v>700877</v>
      </c>
      <c r="CI10" s="60"/>
      <c r="CJ10" s="60">
        <f t="shared" si="25"/>
        <v>700877</v>
      </c>
      <c r="CK10" s="60"/>
      <c r="CL10" s="60"/>
      <c r="CM10" s="60">
        <f t="shared" si="26"/>
        <v>0</v>
      </c>
      <c r="CN10" s="60">
        <v>914889</v>
      </c>
      <c r="CO10" s="60">
        <v>4908333</v>
      </c>
      <c r="CP10" s="60">
        <f t="shared" si="27"/>
        <v>5823222</v>
      </c>
      <c r="CQ10" s="60"/>
      <c r="CR10" s="60"/>
      <c r="CS10" s="60">
        <v>53586356</v>
      </c>
      <c r="CT10" s="60"/>
      <c r="CU10" s="60"/>
      <c r="CV10" s="60">
        <f t="shared" si="29"/>
        <v>0</v>
      </c>
    </row>
    <row r="11" spans="1:100" ht="15" customHeight="1" x14ac:dyDescent="0.25">
      <c r="A11" s="61" t="s">
        <v>198</v>
      </c>
      <c r="B11" s="60"/>
      <c r="C11" s="60"/>
      <c r="D11" s="60">
        <f t="shared" si="0"/>
        <v>0</v>
      </c>
      <c r="E11" s="60"/>
      <c r="F11" s="60"/>
      <c r="G11" s="60">
        <f t="shared" si="1"/>
        <v>0</v>
      </c>
      <c r="H11" s="60"/>
      <c r="I11" s="60"/>
      <c r="J11" s="60">
        <f t="shared" si="30"/>
        <v>0</v>
      </c>
      <c r="K11" s="60"/>
      <c r="L11" s="60"/>
      <c r="M11" s="60">
        <f t="shared" si="2"/>
        <v>0</v>
      </c>
      <c r="N11" s="60"/>
      <c r="O11" s="60">
        <v>330252</v>
      </c>
      <c r="P11" s="60">
        <f t="shared" si="3"/>
        <v>330252</v>
      </c>
      <c r="Q11" s="60"/>
      <c r="R11" s="60"/>
      <c r="S11" s="60">
        <f t="shared" si="4"/>
        <v>0</v>
      </c>
      <c r="T11" s="60"/>
      <c r="U11" s="60"/>
      <c r="V11" s="60">
        <f t="shared" si="5"/>
        <v>0</v>
      </c>
      <c r="W11" s="60"/>
      <c r="X11" s="60"/>
      <c r="Y11" s="60">
        <f t="shared" si="6"/>
        <v>0</v>
      </c>
      <c r="Z11" s="60">
        <v>11248</v>
      </c>
      <c r="AA11" s="60"/>
      <c r="AB11" s="60">
        <f t="shared" si="7"/>
        <v>11248</v>
      </c>
      <c r="AC11" s="60"/>
      <c r="AD11" s="60"/>
      <c r="AE11" s="60">
        <f t="shared" si="8"/>
        <v>0</v>
      </c>
      <c r="AF11" s="60"/>
      <c r="AG11" s="60"/>
      <c r="AH11" s="60">
        <f t="shared" si="9"/>
        <v>0</v>
      </c>
      <c r="AI11" s="60"/>
      <c r="AJ11" s="60"/>
      <c r="AK11" s="60">
        <f t="shared" si="10"/>
        <v>0</v>
      </c>
      <c r="AL11" s="60">
        <v>4146</v>
      </c>
      <c r="AM11" s="60">
        <v>28592</v>
      </c>
      <c r="AN11" s="60">
        <f t="shared" si="11"/>
        <v>32738</v>
      </c>
      <c r="AO11" s="60">
        <v>78741</v>
      </c>
      <c r="AP11" s="60">
        <v>276981</v>
      </c>
      <c r="AQ11" s="60">
        <f t="shared" si="12"/>
        <v>355722</v>
      </c>
      <c r="AR11" s="60"/>
      <c r="AS11" s="60"/>
      <c r="AT11" s="60">
        <f t="shared" si="13"/>
        <v>0</v>
      </c>
      <c r="AU11" s="60"/>
      <c r="AV11" s="60"/>
      <c r="AW11" s="60">
        <f t="shared" si="14"/>
        <v>0</v>
      </c>
      <c r="AX11" s="60"/>
      <c r="AY11" s="60"/>
      <c r="AZ11" s="60">
        <f t="shared" si="15"/>
        <v>0</v>
      </c>
      <c r="BA11" s="60">
        <v>2513</v>
      </c>
      <c r="BB11" s="60">
        <v>15780</v>
      </c>
      <c r="BC11" s="60">
        <f t="shared" si="16"/>
        <v>18293</v>
      </c>
      <c r="BD11" s="60"/>
      <c r="BE11" s="60"/>
      <c r="BF11" s="60">
        <f t="shared" si="17"/>
        <v>0</v>
      </c>
      <c r="BG11" s="60"/>
      <c r="BH11" s="60"/>
      <c r="BI11" s="60">
        <f t="shared" si="18"/>
        <v>0</v>
      </c>
      <c r="BJ11" s="60"/>
      <c r="BK11" s="162">
        <v>318</v>
      </c>
      <c r="BL11" s="60">
        <f t="shared" si="19"/>
        <v>318</v>
      </c>
      <c r="BM11" s="60">
        <v>81</v>
      </c>
      <c r="BN11" s="60">
        <v>162</v>
      </c>
      <c r="BO11" s="60">
        <f t="shared" si="20"/>
        <v>243</v>
      </c>
      <c r="BP11" s="60"/>
      <c r="BQ11" s="60"/>
      <c r="BR11" s="60">
        <v>13316</v>
      </c>
      <c r="BS11" s="60"/>
      <c r="BT11" s="60"/>
      <c r="BU11" s="60">
        <f t="shared" si="21"/>
        <v>0</v>
      </c>
      <c r="BV11" s="60"/>
      <c r="BW11" s="60"/>
      <c r="BX11" s="60">
        <f t="shared" si="22"/>
        <v>0</v>
      </c>
      <c r="BY11" s="60"/>
      <c r="BZ11" s="60"/>
      <c r="CA11" s="60">
        <f t="shared" si="32"/>
        <v>0</v>
      </c>
      <c r="CB11" s="60"/>
      <c r="CC11" s="60"/>
      <c r="CD11" s="60">
        <f t="shared" si="23"/>
        <v>0</v>
      </c>
      <c r="CE11" s="60"/>
      <c r="CF11" s="60"/>
      <c r="CG11" s="60">
        <f t="shared" si="24"/>
        <v>0</v>
      </c>
      <c r="CH11" s="60"/>
      <c r="CI11" s="60"/>
      <c r="CJ11" s="60">
        <f t="shared" si="25"/>
        <v>0</v>
      </c>
      <c r="CK11" s="60"/>
      <c r="CL11" s="60"/>
      <c r="CM11" s="60">
        <f t="shared" si="26"/>
        <v>0</v>
      </c>
      <c r="CN11" s="60"/>
      <c r="CO11" s="60"/>
      <c r="CP11" s="60">
        <f t="shared" si="27"/>
        <v>0</v>
      </c>
      <c r="CQ11" s="60"/>
      <c r="CR11" s="60"/>
      <c r="CS11" s="60">
        <f t="shared" si="28"/>
        <v>0</v>
      </c>
      <c r="CT11" s="60"/>
      <c r="CU11" s="60"/>
      <c r="CV11" s="60">
        <f t="shared" si="29"/>
        <v>0</v>
      </c>
    </row>
    <row r="12" spans="1:100" ht="15" customHeight="1" x14ac:dyDescent="0.25">
      <c r="A12" s="61" t="s">
        <v>199</v>
      </c>
      <c r="B12" s="60"/>
      <c r="C12" s="60"/>
      <c r="D12" s="60">
        <f t="shared" si="0"/>
        <v>0</v>
      </c>
      <c r="E12" s="60"/>
      <c r="F12" s="60"/>
      <c r="G12" s="60">
        <f t="shared" si="1"/>
        <v>0</v>
      </c>
      <c r="H12" s="60"/>
      <c r="I12" s="60"/>
      <c r="J12" s="60">
        <f t="shared" si="30"/>
        <v>0</v>
      </c>
      <c r="K12" s="60"/>
      <c r="L12" s="60"/>
      <c r="M12" s="60">
        <f t="shared" si="2"/>
        <v>0</v>
      </c>
      <c r="N12" s="60"/>
      <c r="O12" s="60"/>
      <c r="P12" s="60">
        <f t="shared" si="3"/>
        <v>0</v>
      </c>
      <c r="Q12" s="60"/>
      <c r="R12" s="60"/>
      <c r="S12" s="60">
        <f t="shared" si="4"/>
        <v>0</v>
      </c>
      <c r="T12" s="60"/>
      <c r="U12" s="60"/>
      <c r="V12" s="60">
        <f t="shared" si="5"/>
        <v>0</v>
      </c>
      <c r="W12" s="60"/>
      <c r="X12" s="60"/>
      <c r="Y12" s="60">
        <f t="shared" si="6"/>
        <v>0</v>
      </c>
      <c r="Z12" s="60"/>
      <c r="AA12" s="60"/>
      <c r="AB12" s="60">
        <f t="shared" si="7"/>
        <v>0</v>
      </c>
      <c r="AC12" s="60"/>
      <c r="AD12" s="60"/>
      <c r="AE12" s="60">
        <f t="shared" si="8"/>
        <v>0</v>
      </c>
      <c r="AF12" s="60"/>
      <c r="AG12" s="60"/>
      <c r="AH12" s="60">
        <f t="shared" si="9"/>
        <v>0</v>
      </c>
      <c r="AI12" s="60"/>
      <c r="AJ12" s="60"/>
      <c r="AK12" s="60">
        <f t="shared" si="10"/>
        <v>0</v>
      </c>
      <c r="AL12" s="60"/>
      <c r="AM12" s="60"/>
      <c r="AN12" s="60">
        <f t="shared" si="11"/>
        <v>0</v>
      </c>
      <c r="AO12" s="60"/>
      <c r="AP12" s="60"/>
      <c r="AQ12" s="60">
        <f t="shared" si="12"/>
        <v>0</v>
      </c>
      <c r="AR12" s="60"/>
      <c r="AS12" s="60"/>
      <c r="AT12" s="60">
        <f t="shared" si="13"/>
        <v>0</v>
      </c>
      <c r="AU12" s="60"/>
      <c r="AV12" s="60"/>
      <c r="AW12" s="60">
        <f t="shared" si="14"/>
        <v>0</v>
      </c>
      <c r="AX12" s="60"/>
      <c r="AY12" s="60"/>
      <c r="AZ12" s="60">
        <f t="shared" si="15"/>
        <v>0</v>
      </c>
      <c r="BA12" s="60"/>
      <c r="BB12" s="60"/>
      <c r="BC12" s="60">
        <f t="shared" si="16"/>
        <v>0</v>
      </c>
      <c r="BD12" s="60"/>
      <c r="BE12" s="60"/>
      <c r="BF12" s="60">
        <f t="shared" si="17"/>
        <v>0</v>
      </c>
      <c r="BG12" s="60"/>
      <c r="BH12" s="60"/>
      <c r="BI12" s="60">
        <f t="shared" si="18"/>
        <v>0</v>
      </c>
      <c r="BJ12" s="60"/>
      <c r="BK12" s="162">
        <v>402564</v>
      </c>
      <c r="BL12" s="60">
        <f t="shared" si="19"/>
        <v>402564</v>
      </c>
      <c r="BM12" s="60">
        <v>170360</v>
      </c>
      <c r="BN12" s="60">
        <v>341406</v>
      </c>
      <c r="BO12" s="60">
        <f t="shared" si="20"/>
        <v>511766</v>
      </c>
      <c r="BP12" s="60"/>
      <c r="BQ12" s="60"/>
      <c r="BR12" s="60">
        <v>607460</v>
      </c>
      <c r="BS12" s="60"/>
      <c r="BT12" s="60"/>
      <c r="BU12" s="60">
        <f t="shared" si="21"/>
        <v>0</v>
      </c>
      <c r="BV12" s="60"/>
      <c r="BW12" s="60"/>
      <c r="BX12" s="60">
        <f t="shared" si="22"/>
        <v>0</v>
      </c>
      <c r="BY12" s="60"/>
      <c r="BZ12" s="60"/>
      <c r="CA12" s="60">
        <f t="shared" si="32"/>
        <v>0</v>
      </c>
      <c r="CB12" s="60"/>
      <c r="CC12" s="60"/>
      <c r="CD12" s="60">
        <f t="shared" si="23"/>
        <v>0</v>
      </c>
      <c r="CE12" s="60"/>
      <c r="CF12" s="60"/>
      <c r="CG12" s="60">
        <f t="shared" si="24"/>
        <v>0</v>
      </c>
      <c r="CH12" s="60"/>
      <c r="CI12" s="60"/>
      <c r="CJ12" s="60">
        <f t="shared" si="25"/>
        <v>0</v>
      </c>
      <c r="CK12" s="60"/>
      <c r="CL12" s="60"/>
      <c r="CM12" s="60">
        <f t="shared" si="26"/>
        <v>0</v>
      </c>
      <c r="CN12" s="60"/>
      <c r="CO12" s="60"/>
      <c r="CP12" s="60">
        <f t="shared" si="27"/>
        <v>0</v>
      </c>
      <c r="CQ12" s="60"/>
      <c r="CR12" s="60"/>
      <c r="CS12" s="60">
        <f t="shared" si="28"/>
        <v>0</v>
      </c>
      <c r="CT12" s="60"/>
      <c r="CU12" s="60"/>
      <c r="CV12" s="60">
        <f t="shared" si="29"/>
        <v>0</v>
      </c>
    </row>
    <row r="13" spans="1:100" ht="15" customHeight="1" x14ac:dyDescent="0.25">
      <c r="A13" s="61" t="s">
        <v>200</v>
      </c>
      <c r="B13" s="60">
        <v>200956</v>
      </c>
      <c r="C13" s="60">
        <v>271496</v>
      </c>
      <c r="D13" s="60">
        <f t="shared" si="0"/>
        <v>472452</v>
      </c>
      <c r="E13" s="60">
        <v>102726</v>
      </c>
      <c r="F13" s="60">
        <v>952724</v>
      </c>
      <c r="G13" s="60">
        <f t="shared" si="1"/>
        <v>1055450</v>
      </c>
      <c r="H13" s="60"/>
      <c r="I13" s="60"/>
      <c r="J13" s="60">
        <v>5975526</v>
      </c>
      <c r="K13" s="60">
        <v>3079340</v>
      </c>
      <c r="L13" s="60">
        <v>1299754</v>
      </c>
      <c r="M13" s="60">
        <f t="shared" si="2"/>
        <v>4379094</v>
      </c>
      <c r="N13" s="60">
        <v>599880</v>
      </c>
      <c r="O13" s="60">
        <v>18032800</v>
      </c>
      <c r="P13" s="60">
        <f t="shared" si="3"/>
        <v>18632680</v>
      </c>
      <c r="Q13" s="60">
        <v>607822</v>
      </c>
      <c r="R13" s="60">
        <v>3702971</v>
      </c>
      <c r="S13" s="60">
        <f t="shared" si="4"/>
        <v>4310793</v>
      </c>
      <c r="T13" s="60">
        <v>597088</v>
      </c>
      <c r="U13" s="60">
        <v>6843851</v>
      </c>
      <c r="V13" s="60">
        <f t="shared" si="5"/>
        <v>7440939</v>
      </c>
      <c r="W13" s="60"/>
      <c r="X13" s="60">
        <v>501382</v>
      </c>
      <c r="Y13" s="60">
        <f t="shared" si="6"/>
        <v>501382</v>
      </c>
      <c r="Z13" s="60">
        <v>300703</v>
      </c>
      <c r="AA13" s="60">
        <v>201947</v>
      </c>
      <c r="AB13" s="60">
        <f t="shared" si="7"/>
        <v>502650</v>
      </c>
      <c r="AC13" s="60">
        <f>3469660.5+2779703.87</f>
        <v>6249364.3700000001</v>
      </c>
      <c r="AD13" s="60">
        <f>4992926.09+4000061.66</f>
        <v>8992987.75</v>
      </c>
      <c r="AE13" s="60">
        <f t="shared" si="8"/>
        <v>15242352.120000001</v>
      </c>
      <c r="AF13" s="60">
        <v>1641708</v>
      </c>
      <c r="AG13" s="60">
        <v>7495790</v>
      </c>
      <c r="AH13" s="60">
        <f t="shared" si="9"/>
        <v>9137498</v>
      </c>
      <c r="AI13" s="60">
        <v>399753</v>
      </c>
      <c r="AJ13" s="60">
        <v>2158009</v>
      </c>
      <c r="AK13" s="60">
        <f t="shared" si="10"/>
        <v>2557762</v>
      </c>
      <c r="AL13" s="60">
        <v>2171111</v>
      </c>
      <c r="AM13" s="60">
        <v>14971992</v>
      </c>
      <c r="AN13" s="60">
        <f t="shared" si="11"/>
        <v>17143103</v>
      </c>
      <c r="AO13" s="60">
        <v>12740842</v>
      </c>
      <c r="AP13" s="60">
        <v>44817307</v>
      </c>
      <c r="AQ13" s="60">
        <f t="shared" si="12"/>
        <v>57558149</v>
      </c>
      <c r="AR13" s="10">
        <v>2039449</v>
      </c>
      <c r="AS13" s="10">
        <v>8522567</v>
      </c>
      <c r="AT13" s="60">
        <f t="shared" si="13"/>
        <v>10562016</v>
      </c>
      <c r="AU13" s="60">
        <v>300766</v>
      </c>
      <c r="AV13" s="60">
        <v>955483</v>
      </c>
      <c r="AW13" s="60">
        <f t="shared" si="14"/>
        <v>1256249</v>
      </c>
      <c r="AX13" s="60">
        <v>1697118</v>
      </c>
      <c r="AY13" s="60">
        <v>5656770</v>
      </c>
      <c r="AZ13" s="60">
        <f t="shared" si="15"/>
        <v>7353888</v>
      </c>
      <c r="BA13" s="60">
        <v>538665</v>
      </c>
      <c r="BB13" s="60">
        <v>3381918</v>
      </c>
      <c r="BC13" s="60">
        <f t="shared" si="16"/>
        <v>3920583</v>
      </c>
      <c r="BD13" s="60">
        <v>200686</v>
      </c>
      <c r="BE13" s="60">
        <v>858052</v>
      </c>
      <c r="BF13" s="60">
        <f t="shared" si="17"/>
        <v>1058738</v>
      </c>
      <c r="BG13" s="60">
        <v>600904</v>
      </c>
      <c r="BH13" s="60">
        <v>1714853</v>
      </c>
      <c r="BI13" s="60">
        <f t="shared" si="18"/>
        <v>2315757</v>
      </c>
      <c r="BJ13" s="60"/>
      <c r="BK13" s="162">
        <v>19875681</v>
      </c>
      <c r="BL13" s="60">
        <f t="shared" si="19"/>
        <v>19875681</v>
      </c>
      <c r="BM13" s="60">
        <v>8738641</v>
      </c>
      <c r="BN13" s="60">
        <v>17437932</v>
      </c>
      <c r="BO13" s="60">
        <f t="shared" si="20"/>
        <v>26176573</v>
      </c>
      <c r="BP13" s="60"/>
      <c r="BQ13" s="60"/>
      <c r="BR13" s="60">
        <v>8387170</v>
      </c>
      <c r="BS13" s="60">
        <v>284893</v>
      </c>
      <c r="BT13" s="60">
        <v>725669</v>
      </c>
      <c r="BU13" s="60">
        <f t="shared" si="21"/>
        <v>1010562</v>
      </c>
      <c r="BV13" s="60">
        <v>5020182</v>
      </c>
      <c r="BW13" s="60">
        <v>32237396</v>
      </c>
      <c r="BX13" s="60">
        <f t="shared" si="22"/>
        <v>37257578</v>
      </c>
      <c r="BY13" s="60"/>
      <c r="BZ13" s="60"/>
      <c r="CA13" s="60">
        <v>2814803</v>
      </c>
      <c r="CB13" s="60">
        <v>2627352</v>
      </c>
      <c r="CC13" s="60">
        <v>10847581</v>
      </c>
      <c r="CD13" s="60">
        <f t="shared" si="23"/>
        <v>13474933</v>
      </c>
      <c r="CE13" s="60">
        <v>2973966</v>
      </c>
      <c r="CF13" s="60">
        <v>8330818</v>
      </c>
      <c r="CG13" s="60">
        <f t="shared" si="24"/>
        <v>11304784</v>
      </c>
      <c r="CH13" s="60">
        <v>283127</v>
      </c>
      <c r="CI13" s="60">
        <v>3465604</v>
      </c>
      <c r="CJ13" s="60">
        <f t="shared" si="25"/>
        <v>3748731</v>
      </c>
      <c r="CK13" s="60"/>
      <c r="CL13" s="60"/>
      <c r="CM13" s="60">
        <f t="shared" si="26"/>
        <v>0</v>
      </c>
      <c r="CN13" s="60">
        <v>5080263</v>
      </c>
      <c r="CO13" s="60">
        <v>27255357</v>
      </c>
      <c r="CP13" s="60">
        <f t="shared" si="27"/>
        <v>32335620</v>
      </c>
      <c r="CQ13" s="60"/>
      <c r="CR13" s="60"/>
      <c r="CS13" s="60">
        <v>18243933</v>
      </c>
      <c r="CT13" s="60">
        <v>1489889</v>
      </c>
      <c r="CU13" s="60">
        <v>4141168</v>
      </c>
      <c r="CV13" s="60">
        <f t="shared" si="29"/>
        <v>5631057</v>
      </c>
    </row>
    <row r="14" spans="1:100" ht="15" customHeight="1" x14ac:dyDescent="0.25">
      <c r="A14" s="61" t="s">
        <v>201</v>
      </c>
      <c r="B14" s="60"/>
      <c r="C14" s="60"/>
      <c r="D14" s="60">
        <f t="shared" si="0"/>
        <v>0</v>
      </c>
      <c r="E14" s="60"/>
      <c r="F14" s="60"/>
      <c r="G14" s="60">
        <f t="shared" si="1"/>
        <v>0</v>
      </c>
      <c r="H14" s="60"/>
      <c r="I14" s="60"/>
      <c r="J14" s="60">
        <v>491150</v>
      </c>
      <c r="K14" s="60"/>
      <c r="L14" s="60"/>
      <c r="M14" s="60">
        <f t="shared" si="2"/>
        <v>0</v>
      </c>
      <c r="N14" s="60"/>
      <c r="O14" s="60"/>
      <c r="P14" s="60">
        <f t="shared" si="3"/>
        <v>0</v>
      </c>
      <c r="Q14" s="60"/>
      <c r="R14" s="60"/>
      <c r="S14" s="60">
        <f t="shared" si="4"/>
        <v>0</v>
      </c>
      <c r="T14" s="60">
        <f>10681+6259</f>
        <v>16940</v>
      </c>
      <c r="U14" s="60">
        <f>122430+71741</f>
        <v>194171</v>
      </c>
      <c r="V14" s="60">
        <f t="shared" si="5"/>
        <v>211111</v>
      </c>
      <c r="W14" s="60">
        <v>55000</v>
      </c>
      <c r="X14" s="60"/>
      <c r="Y14" s="60">
        <f t="shared" si="6"/>
        <v>55000</v>
      </c>
      <c r="Z14" s="60"/>
      <c r="AA14" s="60"/>
      <c r="AB14" s="60">
        <f t="shared" si="7"/>
        <v>0</v>
      </c>
      <c r="AC14" s="60"/>
      <c r="AD14" s="60"/>
      <c r="AE14" s="60">
        <f t="shared" si="8"/>
        <v>0</v>
      </c>
      <c r="AF14" s="60"/>
      <c r="AG14" s="60"/>
      <c r="AH14" s="60">
        <f t="shared" si="9"/>
        <v>0</v>
      </c>
      <c r="AI14" s="60"/>
      <c r="AJ14" s="60"/>
      <c r="AK14" s="60">
        <f t="shared" si="10"/>
        <v>0</v>
      </c>
      <c r="AL14" s="60">
        <v>51178</v>
      </c>
      <c r="AM14" s="60">
        <v>352922</v>
      </c>
      <c r="AN14" s="60">
        <f t="shared" si="11"/>
        <v>404100</v>
      </c>
      <c r="AO14" s="60">
        <v>3371203</v>
      </c>
      <c r="AP14" s="60">
        <v>11058319</v>
      </c>
      <c r="AQ14" s="60">
        <f t="shared" si="12"/>
        <v>14429522</v>
      </c>
      <c r="AR14" s="60"/>
      <c r="AS14" s="60"/>
      <c r="AT14" s="60">
        <f>AS14+AR14</f>
        <v>0</v>
      </c>
      <c r="AU14" s="60"/>
      <c r="AV14" s="60"/>
      <c r="AW14" s="60">
        <f t="shared" si="14"/>
        <v>0</v>
      </c>
      <c r="AX14" s="60"/>
      <c r="AY14" s="60"/>
      <c r="AZ14" s="60">
        <f t="shared" si="15"/>
        <v>0</v>
      </c>
      <c r="BA14" s="60"/>
      <c r="BB14" s="60"/>
      <c r="BC14" s="60">
        <f t="shared" si="16"/>
        <v>0</v>
      </c>
      <c r="BD14" s="60"/>
      <c r="BE14" s="60"/>
      <c r="BF14" s="60">
        <f t="shared" si="17"/>
        <v>0</v>
      </c>
      <c r="BG14" s="60"/>
      <c r="BH14" s="60"/>
      <c r="BI14" s="60">
        <f t="shared" si="18"/>
        <v>0</v>
      </c>
      <c r="BJ14" s="60"/>
      <c r="BK14" s="60"/>
      <c r="BL14" s="60">
        <f t="shared" si="19"/>
        <v>0</v>
      </c>
      <c r="BM14" s="60">
        <v>28189</v>
      </c>
      <c r="BN14" s="60"/>
      <c r="BO14" s="60">
        <f t="shared" si="20"/>
        <v>28189</v>
      </c>
      <c r="BP14" s="60"/>
      <c r="BQ14" s="60"/>
      <c r="BR14" s="60">
        <f>156973+402016</f>
        <v>558989</v>
      </c>
      <c r="BS14" s="60"/>
      <c r="BT14" s="60"/>
      <c r="BU14" s="60">
        <f t="shared" si="21"/>
        <v>0</v>
      </c>
      <c r="BV14" s="60">
        <v>33686</v>
      </c>
      <c r="BW14" s="60">
        <v>216314</v>
      </c>
      <c r="BX14" s="60">
        <f t="shared" si="22"/>
        <v>250000</v>
      </c>
      <c r="BY14" s="60"/>
      <c r="BZ14" s="60"/>
      <c r="CA14" s="60">
        <f t="shared" si="32"/>
        <v>0</v>
      </c>
      <c r="CB14" s="60"/>
      <c r="CC14" s="60"/>
      <c r="CD14" s="60">
        <f t="shared" si="23"/>
        <v>0</v>
      </c>
      <c r="CE14" s="60">
        <f>19900+219139+107759</f>
        <v>346798</v>
      </c>
      <c r="CF14" s="60"/>
      <c r="CG14" s="60">
        <f t="shared" si="24"/>
        <v>346798</v>
      </c>
      <c r="CH14" s="60"/>
      <c r="CI14" s="60"/>
      <c r="CJ14" s="60">
        <f t="shared" si="25"/>
        <v>0</v>
      </c>
      <c r="CK14" s="60"/>
      <c r="CL14" s="60"/>
      <c r="CM14" s="60">
        <f t="shared" si="26"/>
        <v>0</v>
      </c>
      <c r="CN14" s="60"/>
      <c r="CO14" s="60"/>
      <c r="CP14" s="60">
        <f t="shared" si="27"/>
        <v>0</v>
      </c>
      <c r="CQ14" s="60"/>
      <c r="CR14" s="60"/>
      <c r="CS14" s="60">
        <f t="shared" si="28"/>
        <v>0</v>
      </c>
      <c r="CT14" s="60"/>
      <c r="CU14" s="60"/>
      <c r="CV14" s="60">
        <f t="shared" si="29"/>
        <v>0</v>
      </c>
    </row>
    <row r="15" spans="1:100" ht="15" customHeight="1" x14ac:dyDescent="0.25">
      <c r="A15" s="61" t="s">
        <v>202</v>
      </c>
      <c r="B15" s="60"/>
      <c r="C15" s="60"/>
      <c r="D15" s="60">
        <f t="shared" si="0"/>
        <v>0</v>
      </c>
      <c r="E15" s="60"/>
      <c r="F15" s="60"/>
      <c r="G15" s="60">
        <f t="shared" si="1"/>
        <v>0</v>
      </c>
      <c r="H15" s="60"/>
      <c r="I15" s="60"/>
      <c r="J15" s="60">
        <f t="shared" si="30"/>
        <v>0</v>
      </c>
      <c r="K15" s="60"/>
      <c r="L15" s="60"/>
      <c r="M15" s="60">
        <f t="shared" si="2"/>
        <v>0</v>
      </c>
      <c r="N15" s="60"/>
      <c r="O15" s="60"/>
      <c r="P15" s="60">
        <f t="shared" si="3"/>
        <v>0</v>
      </c>
      <c r="Q15" s="60"/>
      <c r="R15" s="60"/>
      <c r="S15" s="60">
        <f t="shared" si="4"/>
        <v>0</v>
      </c>
      <c r="T15" s="60"/>
      <c r="U15" s="60"/>
      <c r="V15" s="60">
        <f t="shared" si="5"/>
        <v>0</v>
      </c>
      <c r="W15" s="60"/>
      <c r="X15" s="60"/>
      <c r="Y15" s="60">
        <f t="shared" si="6"/>
        <v>0</v>
      </c>
      <c r="Z15" s="60"/>
      <c r="AA15" s="60"/>
      <c r="AB15" s="60">
        <f t="shared" si="7"/>
        <v>0</v>
      </c>
      <c r="AC15" s="60"/>
      <c r="AD15" s="60"/>
      <c r="AE15" s="60">
        <f t="shared" si="8"/>
        <v>0</v>
      </c>
      <c r="AF15" s="60"/>
      <c r="AG15" s="60"/>
      <c r="AH15" s="60">
        <f t="shared" si="9"/>
        <v>0</v>
      </c>
      <c r="AI15" s="60"/>
      <c r="AJ15" s="60"/>
      <c r="AK15" s="60">
        <f t="shared" si="10"/>
        <v>0</v>
      </c>
      <c r="AL15" s="60"/>
      <c r="AM15" s="60"/>
      <c r="AN15" s="60">
        <f t="shared" si="11"/>
        <v>0</v>
      </c>
      <c r="AO15" s="60"/>
      <c r="AP15" s="60"/>
      <c r="AQ15" s="60">
        <f t="shared" si="12"/>
        <v>0</v>
      </c>
      <c r="AR15" s="10">
        <v>329312</v>
      </c>
      <c r="AS15" s="10">
        <v>1376146</v>
      </c>
      <c r="AT15" s="60">
        <f t="shared" si="13"/>
        <v>1705458</v>
      </c>
      <c r="AU15" s="60"/>
      <c r="AV15" s="60"/>
      <c r="AW15" s="60">
        <f t="shared" si="14"/>
        <v>0</v>
      </c>
      <c r="AX15" s="60"/>
      <c r="AY15" s="60"/>
      <c r="AZ15" s="60">
        <f t="shared" si="15"/>
        <v>0</v>
      </c>
      <c r="BA15" s="60"/>
      <c r="BB15" s="60"/>
      <c r="BC15" s="60">
        <f t="shared" si="16"/>
        <v>0</v>
      </c>
      <c r="BD15" s="60"/>
      <c r="BE15" s="60"/>
      <c r="BF15" s="60">
        <f t="shared" si="17"/>
        <v>0</v>
      </c>
      <c r="BG15" s="60"/>
      <c r="BH15" s="60"/>
      <c r="BI15" s="60">
        <f t="shared" si="18"/>
        <v>0</v>
      </c>
      <c r="BJ15" s="60"/>
      <c r="BK15" s="60"/>
      <c r="BL15" s="60">
        <f t="shared" si="19"/>
        <v>0</v>
      </c>
      <c r="BM15" s="60"/>
      <c r="BN15" s="60"/>
      <c r="BO15" s="60">
        <f t="shared" si="20"/>
        <v>0</v>
      </c>
      <c r="BP15" s="60"/>
      <c r="BQ15" s="60"/>
      <c r="BR15" s="60">
        <f t="shared" si="31"/>
        <v>0</v>
      </c>
      <c r="BS15" s="60"/>
      <c r="BT15" s="60"/>
      <c r="BU15" s="60">
        <f t="shared" si="21"/>
        <v>0</v>
      </c>
      <c r="BV15" s="60"/>
      <c r="BW15" s="60"/>
      <c r="BX15" s="60">
        <f t="shared" si="22"/>
        <v>0</v>
      </c>
      <c r="BY15" s="60"/>
      <c r="BZ15" s="60"/>
      <c r="CA15" s="60">
        <f t="shared" si="32"/>
        <v>0</v>
      </c>
      <c r="CB15" s="60"/>
      <c r="CC15" s="60"/>
      <c r="CD15" s="60">
        <f t="shared" si="23"/>
        <v>0</v>
      </c>
      <c r="CE15" s="60"/>
      <c r="CF15" s="60"/>
      <c r="CG15" s="60">
        <f t="shared" si="24"/>
        <v>0</v>
      </c>
      <c r="CH15" s="60"/>
      <c r="CI15" s="60"/>
      <c r="CJ15" s="60">
        <f t="shared" si="25"/>
        <v>0</v>
      </c>
      <c r="CK15" s="60"/>
      <c r="CL15" s="60"/>
      <c r="CM15" s="60">
        <f t="shared" si="26"/>
        <v>0</v>
      </c>
      <c r="CN15" s="60"/>
      <c r="CO15" s="60"/>
      <c r="CP15" s="60">
        <f t="shared" si="27"/>
        <v>0</v>
      </c>
      <c r="CQ15" s="60"/>
      <c r="CR15" s="60"/>
      <c r="CS15" s="60">
        <f t="shared" si="28"/>
        <v>0</v>
      </c>
      <c r="CT15" s="60"/>
      <c r="CU15" s="60"/>
      <c r="CV15" s="60">
        <f t="shared" si="29"/>
        <v>0</v>
      </c>
    </row>
    <row r="16" spans="1:100" ht="15" customHeight="1" x14ac:dyDescent="0.25">
      <c r="A16" s="61" t="s">
        <v>203</v>
      </c>
      <c r="B16" s="60"/>
      <c r="C16" s="60"/>
      <c r="D16" s="60">
        <f t="shared" si="0"/>
        <v>0</v>
      </c>
      <c r="E16" s="60"/>
      <c r="F16" s="60"/>
      <c r="G16" s="60">
        <f t="shared" si="1"/>
        <v>0</v>
      </c>
      <c r="H16" s="60"/>
      <c r="I16" s="60"/>
      <c r="J16" s="60">
        <f t="shared" si="30"/>
        <v>0</v>
      </c>
      <c r="K16" s="60"/>
      <c r="L16" s="60"/>
      <c r="M16" s="60">
        <f t="shared" si="2"/>
        <v>0</v>
      </c>
      <c r="N16" s="60"/>
      <c r="O16" s="60"/>
      <c r="P16" s="60">
        <f t="shared" si="3"/>
        <v>0</v>
      </c>
      <c r="Q16" s="60"/>
      <c r="R16" s="60"/>
      <c r="S16" s="60">
        <f t="shared" si="4"/>
        <v>0</v>
      </c>
      <c r="T16" s="60"/>
      <c r="U16" s="60"/>
      <c r="V16" s="60">
        <f t="shared" si="5"/>
        <v>0</v>
      </c>
      <c r="W16" s="60"/>
      <c r="X16" s="60"/>
      <c r="Y16" s="60">
        <f t="shared" si="6"/>
        <v>0</v>
      </c>
      <c r="Z16" s="60"/>
      <c r="AA16" s="60"/>
      <c r="AB16" s="60">
        <f t="shared" si="7"/>
        <v>0</v>
      </c>
      <c r="AC16" s="60"/>
      <c r="AD16" s="60"/>
      <c r="AE16" s="60">
        <f t="shared" si="8"/>
        <v>0</v>
      </c>
      <c r="AF16" s="60"/>
      <c r="AG16" s="60"/>
      <c r="AH16" s="60">
        <f t="shared" si="9"/>
        <v>0</v>
      </c>
      <c r="AI16" s="60"/>
      <c r="AJ16" s="60"/>
      <c r="AK16" s="60">
        <f t="shared" si="10"/>
        <v>0</v>
      </c>
      <c r="AL16" s="60"/>
      <c r="AM16" s="60"/>
      <c r="AN16" s="60">
        <f t="shared" si="11"/>
        <v>0</v>
      </c>
      <c r="AO16" s="60"/>
      <c r="AP16" s="60"/>
      <c r="AQ16" s="60">
        <f t="shared" si="12"/>
        <v>0</v>
      </c>
      <c r="AR16" s="10">
        <v>965</v>
      </c>
      <c r="AS16" s="10">
        <v>4035</v>
      </c>
      <c r="AT16" s="60">
        <f t="shared" si="13"/>
        <v>5000</v>
      </c>
      <c r="AU16" s="60"/>
      <c r="AV16" s="60"/>
      <c r="AW16" s="60">
        <f t="shared" si="14"/>
        <v>0</v>
      </c>
      <c r="AX16" s="60"/>
      <c r="AY16" s="60"/>
      <c r="AZ16" s="60">
        <f t="shared" si="15"/>
        <v>0</v>
      </c>
      <c r="BA16" s="60"/>
      <c r="BB16" s="60"/>
      <c r="BC16" s="60">
        <f t="shared" si="16"/>
        <v>0</v>
      </c>
      <c r="BD16" s="60"/>
      <c r="BE16" s="60"/>
      <c r="BF16" s="60">
        <f t="shared" si="17"/>
        <v>0</v>
      </c>
      <c r="BG16" s="60"/>
      <c r="BH16" s="60"/>
      <c r="BI16" s="60">
        <f t="shared" si="18"/>
        <v>0</v>
      </c>
      <c r="BJ16" s="60"/>
      <c r="BK16" s="60"/>
      <c r="BL16" s="60">
        <f t="shared" si="19"/>
        <v>0</v>
      </c>
      <c r="BM16" s="60">
        <v>514267</v>
      </c>
      <c r="BN16" s="60"/>
      <c r="BO16" s="60">
        <f t="shared" si="20"/>
        <v>514267</v>
      </c>
      <c r="BP16" s="60"/>
      <c r="BQ16" s="60"/>
      <c r="BR16" s="60">
        <v>500</v>
      </c>
      <c r="BS16" s="60"/>
      <c r="BT16" s="60"/>
      <c r="BU16" s="60">
        <f t="shared" si="21"/>
        <v>0</v>
      </c>
      <c r="BV16" s="60"/>
      <c r="BW16" s="60"/>
      <c r="BX16" s="60">
        <f t="shared" si="22"/>
        <v>0</v>
      </c>
      <c r="BY16" s="60"/>
      <c r="BZ16" s="60"/>
      <c r="CA16" s="60">
        <f t="shared" si="32"/>
        <v>0</v>
      </c>
      <c r="CB16" s="60"/>
      <c r="CC16" s="60"/>
      <c r="CD16" s="60">
        <f t="shared" si="23"/>
        <v>0</v>
      </c>
      <c r="CE16" s="60"/>
      <c r="CF16" s="60"/>
      <c r="CG16" s="60">
        <f t="shared" si="24"/>
        <v>0</v>
      </c>
      <c r="CH16" s="60">
        <v>731641</v>
      </c>
      <c r="CI16" s="60"/>
      <c r="CJ16" s="60">
        <f t="shared" si="25"/>
        <v>731641</v>
      </c>
      <c r="CK16" s="60"/>
      <c r="CL16" s="60"/>
      <c r="CM16" s="60">
        <f t="shared" si="26"/>
        <v>0</v>
      </c>
      <c r="CN16" s="60"/>
      <c r="CO16" s="60"/>
      <c r="CP16" s="60">
        <f t="shared" si="27"/>
        <v>0</v>
      </c>
      <c r="CQ16" s="60"/>
      <c r="CR16" s="60"/>
      <c r="CS16" s="60">
        <f t="shared" si="28"/>
        <v>0</v>
      </c>
      <c r="CT16" s="60"/>
      <c r="CU16" s="60"/>
      <c r="CV16" s="60">
        <f t="shared" si="29"/>
        <v>0</v>
      </c>
    </row>
    <row r="17" spans="1:100" ht="15" customHeight="1" x14ac:dyDescent="0.25">
      <c r="A17" s="61" t="s">
        <v>204</v>
      </c>
      <c r="B17" s="60"/>
      <c r="C17" s="60"/>
      <c r="D17" s="60">
        <f t="shared" si="0"/>
        <v>0</v>
      </c>
      <c r="E17" s="60"/>
      <c r="F17" s="60"/>
      <c r="G17" s="60">
        <f t="shared" si="1"/>
        <v>0</v>
      </c>
      <c r="H17" s="60"/>
      <c r="I17" s="60"/>
      <c r="J17" s="60">
        <f t="shared" si="30"/>
        <v>0</v>
      </c>
      <c r="K17" s="60"/>
      <c r="L17" s="60"/>
      <c r="M17" s="60">
        <f t="shared" si="2"/>
        <v>0</v>
      </c>
      <c r="N17" s="60"/>
      <c r="O17" s="60"/>
      <c r="P17" s="60">
        <f t="shared" si="3"/>
        <v>0</v>
      </c>
      <c r="Q17" s="60">
        <v>106389</v>
      </c>
      <c r="R17" s="60">
        <v>648143</v>
      </c>
      <c r="S17" s="60">
        <f t="shared" si="4"/>
        <v>754532</v>
      </c>
      <c r="T17" s="60">
        <v>23130</v>
      </c>
      <c r="U17" s="60">
        <v>265121</v>
      </c>
      <c r="V17" s="60">
        <f t="shared" si="5"/>
        <v>288251</v>
      </c>
      <c r="W17" s="60"/>
      <c r="X17" s="60"/>
      <c r="Y17" s="60">
        <f t="shared" si="6"/>
        <v>0</v>
      </c>
      <c r="Z17" s="60"/>
      <c r="AA17" s="60"/>
      <c r="AB17" s="60">
        <f t="shared" si="7"/>
        <v>0</v>
      </c>
      <c r="AC17" s="60"/>
      <c r="AD17" s="60"/>
      <c r="AE17" s="60">
        <f t="shared" si="8"/>
        <v>0</v>
      </c>
      <c r="AF17" s="60"/>
      <c r="AG17" s="60"/>
      <c r="AH17" s="60">
        <f t="shared" si="9"/>
        <v>0</v>
      </c>
      <c r="AI17" s="60"/>
      <c r="AJ17" s="60"/>
      <c r="AK17" s="60">
        <f t="shared" si="10"/>
        <v>0</v>
      </c>
      <c r="AL17" s="60"/>
      <c r="AM17" s="60"/>
      <c r="AN17" s="60">
        <f t="shared" si="11"/>
        <v>0</v>
      </c>
      <c r="AO17" s="60">
        <v>236056</v>
      </c>
      <c r="AP17" s="60">
        <v>830355</v>
      </c>
      <c r="AQ17" s="60">
        <f t="shared" si="12"/>
        <v>1066411</v>
      </c>
      <c r="AR17" s="60"/>
      <c r="AS17" s="60"/>
      <c r="AT17" s="60">
        <f t="shared" si="13"/>
        <v>0</v>
      </c>
      <c r="AU17" s="60"/>
      <c r="AV17" s="60"/>
      <c r="AW17" s="60">
        <f t="shared" si="14"/>
        <v>0</v>
      </c>
      <c r="AX17" s="60"/>
      <c r="AY17" s="60"/>
      <c r="AZ17" s="60">
        <f t="shared" si="15"/>
        <v>0</v>
      </c>
      <c r="BA17" s="60"/>
      <c r="BB17" s="60"/>
      <c r="BC17" s="60">
        <f t="shared" si="16"/>
        <v>0</v>
      </c>
      <c r="BD17" s="60"/>
      <c r="BE17" s="60"/>
      <c r="BF17" s="60">
        <f t="shared" si="17"/>
        <v>0</v>
      </c>
      <c r="BG17" s="60"/>
      <c r="BH17" s="60"/>
      <c r="BI17" s="60">
        <f t="shared" si="18"/>
        <v>0</v>
      </c>
      <c r="BJ17" s="60"/>
      <c r="BK17" s="162">
        <v>2520</v>
      </c>
      <c r="BL17" s="60">
        <f t="shared" si="19"/>
        <v>2520</v>
      </c>
      <c r="BM17" s="60"/>
      <c r="BN17" s="60"/>
      <c r="BO17" s="60">
        <f t="shared" si="20"/>
        <v>0</v>
      </c>
      <c r="BP17" s="60"/>
      <c r="BQ17" s="60"/>
      <c r="BR17" s="60">
        <f t="shared" si="31"/>
        <v>0</v>
      </c>
      <c r="BS17" s="60"/>
      <c r="BT17" s="60"/>
      <c r="BU17" s="60">
        <f t="shared" si="21"/>
        <v>0</v>
      </c>
      <c r="BV17" s="60"/>
      <c r="BW17" s="60"/>
      <c r="BX17" s="60">
        <f t="shared" si="22"/>
        <v>0</v>
      </c>
      <c r="BY17" s="60"/>
      <c r="BZ17" s="60"/>
      <c r="CA17" s="60">
        <f t="shared" si="32"/>
        <v>0</v>
      </c>
      <c r="CB17" s="60"/>
      <c r="CC17" s="60"/>
      <c r="CD17" s="60">
        <f t="shared" si="23"/>
        <v>0</v>
      </c>
      <c r="CE17" s="60"/>
      <c r="CF17" s="60"/>
      <c r="CG17" s="60">
        <f t="shared" si="24"/>
        <v>0</v>
      </c>
      <c r="CH17" s="60"/>
      <c r="CI17" s="60"/>
      <c r="CJ17" s="60">
        <f t="shared" si="25"/>
        <v>0</v>
      </c>
      <c r="CK17" s="60">
        <v>34411</v>
      </c>
      <c r="CL17" s="60">
        <v>47101</v>
      </c>
      <c r="CM17" s="60">
        <f t="shared" si="26"/>
        <v>81512</v>
      </c>
      <c r="CN17" s="60">
        <v>87870</v>
      </c>
      <c r="CO17" s="60">
        <v>471420</v>
      </c>
      <c r="CP17" s="60">
        <f t="shared" si="27"/>
        <v>559290</v>
      </c>
      <c r="CQ17" s="60"/>
      <c r="CR17" s="60"/>
      <c r="CS17" s="60">
        <f t="shared" si="28"/>
        <v>0</v>
      </c>
      <c r="CT17" s="60"/>
      <c r="CU17" s="60"/>
      <c r="CV17" s="60">
        <f t="shared" si="29"/>
        <v>0</v>
      </c>
    </row>
    <row r="18" spans="1:100" ht="15" customHeight="1" x14ac:dyDescent="0.25">
      <c r="A18" s="61" t="s">
        <v>205</v>
      </c>
      <c r="B18" s="60">
        <v>728038</v>
      </c>
      <c r="C18" s="60">
        <v>983597</v>
      </c>
      <c r="D18" s="60">
        <f t="shared" si="0"/>
        <v>1711635</v>
      </c>
      <c r="E18" s="60">
        <v>50483</v>
      </c>
      <c r="F18" s="60">
        <f>405836+404786</f>
        <v>810622</v>
      </c>
      <c r="G18" s="60">
        <f t="shared" si="1"/>
        <v>861105</v>
      </c>
      <c r="H18" s="60"/>
      <c r="I18" s="60"/>
      <c r="J18" s="60">
        <v>5702874</v>
      </c>
      <c r="K18" s="60"/>
      <c r="L18" s="60">
        <v>4553713</v>
      </c>
      <c r="M18" s="60">
        <f t="shared" si="2"/>
        <v>4553713</v>
      </c>
      <c r="N18" s="60">
        <v>7787683</v>
      </c>
      <c r="O18" s="60">
        <v>29911743</v>
      </c>
      <c r="P18" s="60">
        <f t="shared" si="3"/>
        <v>37699426</v>
      </c>
      <c r="Q18" s="60">
        <v>2424504</v>
      </c>
      <c r="R18" s="60">
        <v>14770559</v>
      </c>
      <c r="S18" s="60">
        <f t="shared" si="4"/>
        <v>17195063</v>
      </c>
      <c r="T18" s="60">
        <v>415207</v>
      </c>
      <c r="U18" s="60">
        <v>4759122</v>
      </c>
      <c r="V18" s="60">
        <f t="shared" si="5"/>
        <v>5174329</v>
      </c>
      <c r="W18" s="60">
        <v>150031</v>
      </c>
      <c r="X18" s="60">
        <v>351920</v>
      </c>
      <c r="Y18" s="60">
        <f t="shared" si="6"/>
        <v>501951</v>
      </c>
      <c r="Z18" s="60">
        <v>413911</v>
      </c>
      <c r="AA18" s="60">
        <v>392874</v>
      </c>
      <c r="AB18" s="60">
        <f t="shared" si="7"/>
        <v>806785</v>
      </c>
      <c r="AC18" s="60">
        <v>11375742.390000001</v>
      </c>
      <c r="AD18" s="60">
        <v>16369970.76</v>
      </c>
      <c r="AE18" s="60">
        <f t="shared" si="8"/>
        <v>27745713.149999999</v>
      </c>
      <c r="AF18" s="60">
        <v>2759053</v>
      </c>
      <c r="AG18" s="60">
        <v>12597419</v>
      </c>
      <c r="AH18" s="60">
        <f t="shared" si="9"/>
        <v>15356472</v>
      </c>
      <c r="AI18" s="60">
        <v>2319214</v>
      </c>
      <c r="AJ18" s="60">
        <v>3719407</v>
      </c>
      <c r="AK18" s="60">
        <f t="shared" si="10"/>
        <v>6038621</v>
      </c>
      <c r="AL18" s="60">
        <v>3951418</v>
      </c>
      <c r="AM18" s="60">
        <v>27248992</v>
      </c>
      <c r="AN18" s="60">
        <f t="shared" si="11"/>
        <v>31200410</v>
      </c>
      <c r="AO18" s="60">
        <v>13968776</v>
      </c>
      <c r="AP18" s="60">
        <v>49136700</v>
      </c>
      <c r="AQ18" s="60">
        <f t="shared" si="12"/>
        <v>63105476</v>
      </c>
      <c r="AR18" s="10">
        <v>5299318</v>
      </c>
      <c r="AS18" s="10">
        <v>22145090</v>
      </c>
      <c r="AT18" s="60">
        <f>AS18+AR18</f>
        <v>27444408</v>
      </c>
      <c r="AU18" s="60">
        <v>617408</v>
      </c>
      <c r="AV18" s="60">
        <v>1961396</v>
      </c>
      <c r="AW18" s="60">
        <f t="shared" si="14"/>
        <v>2578804</v>
      </c>
      <c r="AX18" s="60">
        <v>1268644</v>
      </c>
      <c r="AY18" s="60">
        <v>4228596</v>
      </c>
      <c r="AZ18" s="60">
        <f t="shared" si="15"/>
        <v>5497240</v>
      </c>
      <c r="BA18" s="60">
        <v>1021750</v>
      </c>
      <c r="BB18" s="60">
        <v>6414891</v>
      </c>
      <c r="BC18" s="60">
        <f t="shared" si="16"/>
        <v>7436641</v>
      </c>
      <c r="BD18" s="60">
        <v>856588</v>
      </c>
      <c r="BE18" s="60">
        <v>667511</v>
      </c>
      <c r="BF18" s="60">
        <f t="shared" si="17"/>
        <v>1524099</v>
      </c>
      <c r="BG18" s="60">
        <v>1099882</v>
      </c>
      <c r="BH18" s="60">
        <v>1012941</v>
      </c>
      <c r="BI18" s="60">
        <f t="shared" si="18"/>
        <v>2112823</v>
      </c>
      <c r="BJ18" s="60"/>
      <c r="BK18" s="162">
        <v>13385454</v>
      </c>
      <c r="BL18" s="60">
        <f t="shared" si="19"/>
        <v>13385454</v>
      </c>
      <c r="BM18" s="60">
        <v>16379423</v>
      </c>
      <c r="BN18" s="60">
        <v>32824879</v>
      </c>
      <c r="BO18" s="60">
        <f t="shared" si="20"/>
        <v>49204302</v>
      </c>
      <c r="BP18" s="60"/>
      <c r="BQ18" s="60"/>
      <c r="BR18" s="60">
        <v>25805650</v>
      </c>
      <c r="BS18" s="60">
        <v>199387</v>
      </c>
      <c r="BT18" s="60">
        <v>507872</v>
      </c>
      <c r="BU18" s="60">
        <f t="shared" si="21"/>
        <v>707259</v>
      </c>
      <c r="BV18" s="60">
        <v>1637053</v>
      </c>
      <c r="BW18" s="60">
        <v>10512432</v>
      </c>
      <c r="BX18" s="60">
        <f t="shared" si="22"/>
        <v>12149485</v>
      </c>
      <c r="BY18" s="60"/>
      <c r="BZ18" s="60"/>
      <c r="CA18" s="60">
        <v>6170686</v>
      </c>
      <c r="CB18" s="60">
        <v>2060647</v>
      </c>
      <c r="CC18" s="60">
        <v>8507821</v>
      </c>
      <c r="CD18" s="60">
        <f t="shared" si="23"/>
        <v>10568468</v>
      </c>
      <c r="CE18" s="60">
        <v>7738977</v>
      </c>
      <c r="CF18" s="60">
        <v>19227083</v>
      </c>
      <c r="CG18" s="60">
        <f t="shared" si="24"/>
        <v>26966060</v>
      </c>
      <c r="CH18" s="60">
        <v>6467236</v>
      </c>
      <c r="CI18" s="60">
        <v>35858138</v>
      </c>
      <c r="CJ18" s="60">
        <f t="shared" si="25"/>
        <v>42325374</v>
      </c>
      <c r="CK18" s="60">
        <v>5797328</v>
      </c>
      <c r="CL18" s="60">
        <v>7935243</v>
      </c>
      <c r="CM18" s="60">
        <f t="shared" si="26"/>
        <v>13732571</v>
      </c>
      <c r="CN18" s="60">
        <v>4343123</v>
      </c>
      <c r="CO18" s="60">
        <v>23300642</v>
      </c>
      <c r="CP18" s="60">
        <f t="shared" si="27"/>
        <v>27643765</v>
      </c>
      <c r="CQ18" s="60"/>
      <c r="CR18" s="60"/>
      <c r="CS18" s="60">
        <v>45657179</v>
      </c>
      <c r="CT18" s="60">
        <v>2094206</v>
      </c>
      <c r="CU18" s="60">
        <v>5820878</v>
      </c>
      <c r="CV18" s="60">
        <f t="shared" si="29"/>
        <v>7915084</v>
      </c>
    </row>
    <row r="19" spans="1:100" ht="15" customHeight="1" x14ac:dyDescent="0.25">
      <c r="A19" s="61" t="s">
        <v>206</v>
      </c>
      <c r="B19" s="60"/>
      <c r="C19" s="60"/>
      <c r="D19" s="60">
        <f t="shared" si="0"/>
        <v>0</v>
      </c>
      <c r="E19" s="60"/>
      <c r="F19" s="60">
        <v>349814</v>
      </c>
      <c r="G19" s="60">
        <f t="shared" si="1"/>
        <v>349814</v>
      </c>
      <c r="H19" s="60"/>
      <c r="I19" s="60"/>
      <c r="J19" s="60">
        <v>260626</v>
      </c>
      <c r="K19" s="60"/>
      <c r="L19" s="60">
        <v>185000</v>
      </c>
      <c r="M19" s="60">
        <f t="shared" si="2"/>
        <v>185000</v>
      </c>
      <c r="N19" s="60"/>
      <c r="O19" s="60"/>
      <c r="P19" s="60">
        <f t="shared" si="3"/>
        <v>0</v>
      </c>
      <c r="Q19" s="60">
        <f>-64860+165525</f>
        <v>100665</v>
      </c>
      <c r="R19" s="60">
        <f>-395140+1008412</f>
        <v>613272</v>
      </c>
      <c r="S19" s="60">
        <f t="shared" si="4"/>
        <v>713937</v>
      </c>
      <c r="T19" s="60">
        <f>186104+2246</f>
        <v>188350</v>
      </c>
      <c r="U19" s="60">
        <f>2133133+25743</f>
        <v>2158876</v>
      </c>
      <c r="V19" s="60">
        <f t="shared" si="5"/>
        <v>2347226</v>
      </c>
      <c r="W19" s="60">
        <v>24987</v>
      </c>
      <c r="X19" s="60">
        <v>50077</v>
      </c>
      <c r="Y19" s="60">
        <f t="shared" si="6"/>
        <v>75064</v>
      </c>
      <c r="Z19" s="60">
        <v>214942</v>
      </c>
      <c r="AA19" s="60"/>
      <c r="AB19" s="60">
        <f t="shared" si="7"/>
        <v>214942</v>
      </c>
      <c r="AC19" s="60">
        <v>615708.06999999995</v>
      </c>
      <c r="AD19" s="60">
        <v>886018.93</v>
      </c>
      <c r="AE19" s="60">
        <f t="shared" si="8"/>
        <v>1501727</v>
      </c>
      <c r="AF19" s="60">
        <f>162702-15272</f>
        <v>147430</v>
      </c>
      <c r="AG19" s="60">
        <f>742873-69728</f>
        <v>673145</v>
      </c>
      <c r="AH19" s="60">
        <f t="shared" si="9"/>
        <v>820575</v>
      </c>
      <c r="AI19" s="60">
        <v>27097</v>
      </c>
      <c r="AJ19" s="60"/>
      <c r="AK19" s="60">
        <f t="shared" si="10"/>
        <v>27097</v>
      </c>
      <c r="AL19" s="60">
        <f>26413+11076+12665</f>
        <v>50154</v>
      </c>
      <c r="AM19" s="60">
        <f>182147+76379+87335</f>
        <v>345861</v>
      </c>
      <c r="AN19" s="60">
        <f t="shared" si="11"/>
        <v>396015</v>
      </c>
      <c r="AO19" s="60"/>
      <c r="AP19" s="60"/>
      <c r="AQ19" s="60">
        <f t="shared" si="12"/>
        <v>0</v>
      </c>
      <c r="AR19" s="60">
        <f>2628+214554-84961</f>
        <v>132221</v>
      </c>
      <c r="AS19" s="60">
        <f>10984+896588-355039</f>
        <v>552533</v>
      </c>
      <c r="AT19" s="60">
        <f t="shared" si="13"/>
        <v>684754</v>
      </c>
      <c r="AU19" s="60">
        <v>43154</v>
      </c>
      <c r="AV19" s="60">
        <v>137094</v>
      </c>
      <c r="AW19" s="60">
        <f t="shared" si="14"/>
        <v>180248</v>
      </c>
      <c r="AX19" s="60"/>
      <c r="AY19" s="60"/>
      <c r="AZ19" s="60">
        <f t="shared" si="15"/>
        <v>0</v>
      </c>
      <c r="BA19" s="60">
        <v>119962</v>
      </c>
      <c r="BB19" s="60">
        <v>753163</v>
      </c>
      <c r="BC19" s="60">
        <f t="shared" si="16"/>
        <v>873125</v>
      </c>
      <c r="BD19" s="60">
        <f>50000-35450</f>
        <v>14550</v>
      </c>
      <c r="BE19" s="60">
        <f>150384-117620</f>
        <v>32764</v>
      </c>
      <c r="BF19" s="60">
        <f t="shared" si="17"/>
        <v>47314</v>
      </c>
      <c r="BG19" s="60"/>
      <c r="BH19" s="60">
        <v>75148</v>
      </c>
      <c r="BI19" s="60">
        <f t="shared" si="18"/>
        <v>75148</v>
      </c>
      <c r="BJ19" s="60"/>
      <c r="BK19" s="60"/>
      <c r="BL19" s="60">
        <f t="shared" si="19"/>
        <v>0</v>
      </c>
      <c r="BM19" s="60">
        <v>6998176</v>
      </c>
      <c r="BN19" s="60">
        <v>13559245</v>
      </c>
      <c r="BO19" s="60">
        <f t="shared" si="20"/>
        <v>20557421</v>
      </c>
      <c r="BP19" s="60"/>
      <c r="BQ19" s="60"/>
      <c r="BR19" s="60">
        <f t="shared" si="31"/>
        <v>0</v>
      </c>
      <c r="BS19" s="60"/>
      <c r="BT19" s="60"/>
      <c r="BU19" s="60">
        <f t="shared" si="21"/>
        <v>0</v>
      </c>
      <c r="BV19" s="60">
        <f>-23563+382463</f>
        <v>358900</v>
      </c>
      <c r="BW19" s="60">
        <f>2456011-151311</f>
        <v>2304700</v>
      </c>
      <c r="BX19" s="60">
        <f t="shared" si="22"/>
        <v>2663600</v>
      </c>
      <c r="BY19" s="60"/>
      <c r="BZ19" s="60"/>
      <c r="CA19" s="60">
        <v>50000</v>
      </c>
      <c r="CB19" s="60">
        <v>419683</v>
      </c>
      <c r="CC19" s="60">
        <v>1732751</v>
      </c>
      <c r="CD19" s="60">
        <f t="shared" si="23"/>
        <v>2152434</v>
      </c>
      <c r="CE19" s="60"/>
      <c r="CF19" s="60"/>
      <c r="CG19" s="60">
        <f t="shared" si="24"/>
        <v>0</v>
      </c>
      <c r="CH19" s="60"/>
      <c r="CI19" s="60"/>
      <c r="CJ19" s="60">
        <f t="shared" si="25"/>
        <v>0</v>
      </c>
      <c r="CK19" s="60">
        <v>21372</v>
      </c>
      <c r="CL19" s="60">
        <v>29253</v>
      </c>
      <c r="CM19" s="60">
        <f t="shared" si="26"/>
        <v>50625</v>
      </c>
      <c r="CN19" s="60">
        <f>22023+627901</f>
        <v>649924</v>
      </c>
      <c r="CO19" s="60">
        <f>118155+3368658</f>
        <v>3486813</v>
      </c>
      <c r="CP19" s="60">
        <f t="shared" si="27"/>
        <v>4136737</v>
      </c>
      <c r="CQ19" s="60"/>
      <c r="CR19" s="60"/>
      <c r="CS19" s="60">
        <v>16028454</v>
      </c>
      <c r="CT19" s="60">
        <v>16809</v>
      </c>
      <c r="CU19" s="60">
        <v>46722</v>
      </c>
      <c r="CV19" s="60">
        <f t="shared" si="29"/>
        <v>63531</v>
      </c>
    </row>
    <row r="20" spans="1:100" s="63" customFormat="1" ht="15" customHeight="1" x14ac:dyDescent="0.25">
      <c r="A20" s="59" t="s">
        <v>207</v>
      </c>
      <c r="B20" s="62">
        <f>SUM(B6:B19)</f>
        <v>1431009</v>
      </c>
      <c r="C20" s="62">
        <f t="shared" ref="C20:BN20" si="33">SUM(C6:C19)</f>
        <v>1933327</v>
      </c>
      <c r="D20" s="62">
        <f t="shared" si="33"/>
        <v>3364336</v>
      </c>
      <c r="E20" s="62">
        <f t="shared" si="33"/>
        <v>2110021</v>
      </c>
      <c r="F20" s="62">
        <f t="shared" si="33"/>
        <v>4747213</v>
      </c>
      <c r="G20" s="62">
        <f t="shared" si="33"/>
        <v>6857234</v>
      </c>
      <c r="H20" s="62">
        <f t="shared" si="33"/>
        <v>0</v>
      </c>
      <c r="I20" s="62">
        <f t="shared" si="33"/>
        <v>0</v>
      </c>
      <c r="J20" s="62">
        <f t="shared" si="33"/>
        <v>43227689</v>
      </c>
      <c r="K20" s="62">
        <f t="shared" si="33"/>
        <v>5247311</v>
      </c>
      <c r="L20" s="62">
        <f t="shared" si="33"/>
        <v>10269764</v>
      </c>
      <c r="M20" s="62">
        <f t="shared" si="33"/>
        <v>15517075</v>
      </c>
      <c r="N20" s="62">
        <f t="shared" si="33"/>
        <v>28979577</v>
      </c>
      <c r="O20" s="62">
        <f t="shared" si="33"/>
        <v>124116641</v>
      </c>
      <c r="P20" s="62">
        <f t="shared" si="33"/>
        <v>153096218</v>
      </c>
      <c r="Q20" s="62">
        <f t="shared" si="33"/>
        <v>5798325</v>
      </c>
      <c r="R20" s="62">
        <f t="shared" si="33"/>
        <v>35324542</v>
      </c>
      <c r="S20" s="62">
        <f t="shared" si="33"/>
        <v>41122867</v>
      </c>
      <c r="T20" s="62">
        <f t="shared" si="33"/>
        <v>6368915</v>
      </c>
      <c r="U20" s="62">
        <f t="shared" si="33"/>
        <v>73000804</v>
      </c>
      <c r="V20" s="62">
        <f t="shared" si="33"/>
        <v>79369719</v>
      </c>
      <c r="W20" s="62">
        <f t="shared" si="33"/>
        <v>793402</v>
      </c>
      <c r="X20" s="62">
        <f t="shared" si="33"/>
        <v>1411465</v>
      </c>
      <c r="Y20" s="62">
        <f t="shared" si="33"/>
        <v>2204867</v>
      </c>
      <c r="Z20" s="62">
        <f t="shared" si="33"/>
        <v>943878</v>
      </c>
      <c r="AA20" s="62">
        <f t="shared" si="33"/>
        <v>1681153</v>
      </c>
      <c r="AB20" s="62">
        <f t="shared" si="33"/>
        <v>2625031</v>
      </c>
      <c r="AC20" s="62">
        <f t="shared" si="33"/>
        <v>38073522.520000003</v>
      </c>
      <c r="AD20" s="62">
        <f t="shared" si="33"/>
        <v>54788727.539999999</v>
      </c>
      <c r="AE20" s="62">
        <f t="shared" si="33"/>
        <v>92862250.060000002</v>
      </c>
      <c r="AF20" s="62">
        <f t="shared" si="33"/>
        <v>7301865</v>
      </c>
      <c r="AG20" s="62">
        <f t="shared" si="33"/>
        <v>33339211</v>
      </c>
      <c r="AH20" s="62">
        <f t="shared" si="33"/>
        <v>40641076</v>
      </c>
      <c r="AI20" s="62">
        <f t="shared" si="33"/>
        <v>6477405</v>
      </c>
      <c r="AJ20" s="62">
        <f t="shared" si="33"/>
        <v>24461046</v>
      </c>
      <c r="AK20" s="62">
        <f t="shared" si="33"/>
        <v>30938451</v>
      </c>
      <c r="AL20" s="62">
        <f t="shared" si="33"/>
        <v>12684256</v>
      </c>
      <c r="AM20" s="62">
        <f t="shared" si="33"/>
        <v>87470677</v>
      </c>
      <c r="AN20" s="62">
        <f t="shared" si="33"/>
        <v>100154933</v>
      </c>
      <c r="AO20" s="62">
        <f t="shared" si="33"/>
        <v>52165670</v>
      </c>
      <c r="AP20" s="62">
        <f t="shared" si="33"/>
        <v>182698201</v>
      </c>
      <c r="AQ20" s="62">
        <f t="shared" si="33"/>
        <v>234863871</v>
      </c>
      <c r="AR20" s="62">
        <f t="shared" si="33"/>
        <v>14653112</v>
      </c>
      <c r="AS20" s="62">
        <f t="shared" si="33"/>
        <v>61233257</v>
      </c>
      <c r="AT20" s="62">
        <f t="shared" si="33"/>
        <v>75886369</v>
      </c>
      <c r="AU20" s="62">
        <f t="shared" si="33"/>
        <v>1420702</v>
      </c>
      <c r="AV20" s="62">
        <f t="shared" si="33"/>
        <v>4874581</v>
      </c>
      <c r="AW20" s="62">
        <f t="shared" si="33"/>
        <v>6295283</v>
      </c>
      <c r="AX20" s="62">
        <f t="shared" si="33"/>
        <v>4847822</v>
      </c>
      <c r="AY20" s="62">
        <f t="shared" si="33"/>
        <v>16158579</v>
      </c>
      <c r="AZ20" s="62">
        <f t="shared" si="33"/>
        <v>21006401</v>
      </c>
      <c r="BA20" s="62">
        <f t="shared" si="33"/>
        <v>2873455</v>
      </c>
      <c r="BB20" s="62">
        <f t="shared" si="33"/>
        <v>18040521</v>
      </c>
      <c r="BC20" s="62">
        <f t="shared" si="33"/>
        <v>20913976</v>
      </c>
      <c r="BD20" s="62">
        <f t="shared" si="33"/>
        <v>1628079</v>
      </c>
      <c r="BE20" s="62">
        <f t="shared" si="33"/>
        <v>3177641</v>
      </c>
      <c r="BF20" s="62">
        <f t="shared" si="33"/>
        <v>4805720</v>
      </c>
      <c r="BG20" s="62">
        <f t="shared" si="33"/>
        <v>3328576</v>
      </c>
      <c r="BH20" s="62">
        <f t="shared" si="33"/>
        <v>4357690</v>
      </c>
      <c r="BI20" s="62">
        <f t="shared" si="33"/>
        <v>7686266</v>
      </c>
      <c r="BJ20" s="62">
        <f t="shared" si="33"/>
        <v>0</v>
      </c>
      <c r="BK20" s="62">
        <f t="shared" si="33"/>
        <v>173996023</v>
      </c>
      <c r="BL20" s="62">
        <f t="shared" si="33"/>
        <v>173996023</v>
      </c>
      <c r="BM20" s="62">
        <f t="shared" si="33"/>
        <v>164021438</v>
      </c>
      <c r="BN20" s="62">
        <f t="shared" si="33"/>
        <v>312614229</v>
      </c>
      <c r="BO20" s="62">
        <f t="shared" ref="BO20:CV20" si="34">SUM(BO6:BO19)</f>
        <v>476635667</v>
      </c>
      <c r="BP20" s="62">
        <f t="shared" si="34"/>
        <v>0</v>
      </c>
      <c r="BQ20" s="62">
        <f t="shared" si="34"/>
        <v>0</v>
      </c>
      <c r="BR20" s="62">
        <f t="shared" si="34"/>
        <v>186531061</v>
      </c>
      <c r="BS20" s="62">
        <f t="shared" si="34"/>
        <v>834945</v>
      </c>
      <c r="BT20" s="62">
        <f t="shared" si="34"/>
        <v>2126741</v>
      </c>
      <c r="BU20" s="62">
        <f t="shared" si="34"/>
        <v>2961686</v>
      </c>
      <c r="BV20" s="62">
        <f t="shared" si="34"/>
        <v>11534316</v>
      </c>
      <c r="BW20" s="62">
        <f t="shared" si="34"/>
        <v>74068293</v>
      </c>
      <c r="BX20" s="62">
        <f t="shared" si="34"/>
        <v>85602609</v>
      </c>
      <c r="BY20" s="62">
        <f t="shared" si="34"/>
        <v>0</v>
      </c>
      <c r="BZ20" s="62">
        <f t="shared" si="34"/>
        <v>0</v>
      </c>
      <c r="CA20" s="62">
        <f t="shared" si="34"/>
        <v>14520249</v>
      </c>
      <c r="CB20" s="62">
        <f t="shared" si="34"/>
        <v>9110836</v>
      </c>
      <c r="CC20" s="62">
        <f t="shared" si="34"/>
        <v>37616026</v>
      </c>
      <c r="CD20" s="62">
        <f t="shared" si="34"/>
        <v>46726862</v>
      </c>
      <c r="CE20" s="62">
        <f t="shared" si="34"/>
        <v>17626684</v>
      </c>
      <c r="CF20" s="62">
        <f t="shared" si="34"/>
        <v>46778355</v>
      </c>
      <c r="CG20" s="62">
        <f t="shared" si="34"/>
        <v>64405039</v>
      </c>
      <c r="CH20" s="62">
        <f t="shared" si="34"/>
        <v>8466034</v>
      </c>
      <c r="CI20" s="62">
        <f t="shared" si="34"/>
        <v>41051013</v>
      </c>
      <c r="CJ20" s="62">
        <f t="shared" si="34"/>
        <v>49517047</v>
      </c>
      <c r="CK20" s="62">
        <f t="shared" si="34"/>
        <v>16158051</v>
      </c>
      <c r="CL20" s="62">
        <f t="shared" si="34"/>
        <v>22116752</v>
      </c>
      <c r="CM20" s="62">
        <f t="shared" si="34"/>
        <v>38274803</v>
      </c>
      <c r="CN20" s="62">
        <f t="shared" si="34"/>
        <v>17629024</v>
      </c>
      <c r="CO20" s="62">
        <f t="shared" si="34"/>
        <v>94578842</v>
      </c>
      <c r="CP20" s="62">
        <f t="shared" si="34"/>
        <v>112207866</v>
      </c>
      <c r="CQ20" s="62">
        <f t="shared" ref="CQ20:CS20" si="35">SUM(CQ6:CQ19)</f>
        <v>0</v>
      </c>
      <c r="CR20" s="62">
        <f t="shared" si="35"/>
        <v>0</v>
      </c>
      <c r="CS20" s="62">
        <f t="shared" si="35"/>
        <v>247511198</v>
      </c>
      <c r="CT20" s="62">
        <f t="shared" si="34"/>
        <v>5928852</v>
      </c>
      <c r="CU20" s="62">
        <f t="shared" si="34"/>
        <v>16479335</v>
      </c>
      <c r="CV20" s="62">
        <f t="shared" si="34"/>
        <v>22408187</v>
      </c>
    </row>
    <row r="21" spans="1:100" ht="15" customHeight="1" x14ac:dyDescent="0.25">
      <c r="A21" s="59" t="s">
        <v>208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</row>
    <row r="22" spans="1:100" ht="30" x14ac:dyDescent="0.25">
      <c r="A22" s="61" t="s">
        <v>193</v>
      </c>
      <c r="B22" s="60">
        <v>198263</v>
      </c>
      <c r="C22" s="60">
        <v>267858</v>
      </c>
      <c r="D22" s="60">
        <f t="shared" ref="D22:D35" si="36">B22+C22</f>
        <v>466121</v>
      </c>
      <c r="E22" s="60"/>
      <c r="F22" s="60"/>
      <c r="G22" s="60">
        <f t="shared" ref="G22:G35" si="37">F22+E22</f>
        <v>0</v>
      </c>
      <c r="H22" s="60"/>
      <c r="I22" s="60"/>
      <c r="J22" s="60">
        <v>4518565</v>
      </c>
      <c r="K22" s="60"/>
      <c r="L22" s="60">
        <v>249286</v>
      </c>
      <c r="M22" s="60">
        <f t="shared" ref="M22:M35" si="38">L22+K22</f>
        <v>249286</v>
      </c>
      <c r="N22" s="60"/>
      <c r="O22" s="60">
        <v>4644986</v>
      </c>
      <c r="P22" s="60">
        <f t="shared" ref="P22:P35" si="39">O22+N22</f>
        <v>4644986</v>
      </c>
      <c r="Q22" s="60">
        <v>2817</v>
      </c>
      <c r="R22" s="60">
        <v>17162</v>
      </c>
      <c r="S22" s="60">
        <f t="shared" ref="S22:S35" si="40">R22+Q22</f>
        <v>19979</v>
      </c>
      <c r="T22" s="60"/>
      <c r="U22" s="60"/>
      <c r="V22" s="60">
        <f t="shared" ref="V22:V35" si="41">U22+T22</f>
        <v>0</v>
      </c>
      <c r="W22" s="60"/>
      <c r="X22" s="60"/>
      <c r="Y22" s="60">
        <f t="shared" ref="Y22:Y35" si="42">X22+W22</f>
        <v>0</v>
      </c>
      <c r="Z22" s="60"/>
      <c r="AA22" s="60">
        <v>100034</v>
      </c>
      <c r="AB22" s="60">
        <f t="shared" ref="AB22:AB35" si="43">AA22+Z22</f>
        <v>100034</v>
      </c>
      <c r="AC22" s="60">
        <f>681312.57+515465.35</f>
        <v>1196777.92</v>
      </c>
      <c r="AD22" s="60">
        <f>980425.4+741767.21</f>
        <v>1722192.6099999999</v>
      </c>
      <c r="AE22" s="60">
        <f t="shared" ref="AE22:AE35" si="44">AD22+AC22</f>
        <v>2918970.53</v>
      </c>
      <c r="AF22" s="60">
        <v>85873</v>
      </c>
      <c r="AG22" s="60">
        <v>392082</v>
      </c>
      <c r="AH22" s="60">
        <f t="shared" ref="AH22:AH35" si="45">AG22+AF22</f>
        <v>477955</v>
      </c>
      <c r="AI22" s="60"/>
      <c r="AJ22" s="60">
        <v>249998</v>
      </c>
      <c r="AK22" s="60">
        <f t="shared" ref="AK22:AK35" si="46">AJ22+AI22</f>
        <v>249998</v>
      </c>
      <c r="AL22" s="60">
        <v>57050</v>
      </c>
      <c r="AM22" s="60">
        <v>393420</v>
      </c>
      <c r="AN22" s="60">
        <f t="shared" ref="AN22:AN35" si="47">AM22+AL22</f>
        <v>450470</v>
      </c>
      <c r="AO22" s="60">
        <v>1741043</v>
      </c>
      <c r="AP22" s="60">
        <v>6124309</v>
      </c>
      <c r="AQ22" s="60">
        <f t="shared" ref="AQ22:AQ35" si="48">AP22+AO22</f>
        <v>7865352</v>
      </c>
      <c r="AR22" s="10">
        <v>263629</v>
      </c>
      <c r="AS22" s="10">
        <v>1101669</v>
      </c>
      <c r="AT22" s="60">
        <f t="shared" ref="AT22:AT35" si="49">AS22+AR22</f>
        <v>1365298</v>
      </c>
      <c r="AU22" s="60">
        <v>70426</v>
      </c>
      <c r="AV22" s="60">
        <v>223731</v>
      </c>
      <c r="AW22" s="60">
        <f t="shared" ref="AW22:AW35" si="50">AV22+AU22</f>
        <v>294157</v>
      </c>
      <c r="AX22" s="60">
        <v>302237</v>
      </c>
      <c r="AY22" s="60">
        <v>1007404</v>
      </c>
      <c r="AZ22" s="60">
        <f t="shared" ref="AZ22:AZ35" si="51">AY22+AX22</f>
        <v>1309641</v>
      </c>
      <c r="BA22" s="60"/>
      <c r="BB22" s="60"/>
      <c r="BC22" s="60">
        <f t="shared" ref="BC22:BC35" si="52">BB22+BA22</f>
        <v>0</v>
      </c>
      <c r="BD22" s="60"/>
      <c r="BE22" s="60"/>
      <c r="BF22" s="60">
        <f t="shared" ref="BF22:BF35" si="53">BE22+BD22</f>
        <v>0</v>
      </c>
      <c r="BG22" s="60"/>
      <c r="BH22" s="60">
        <v>550333</v>
      </c>
      <c r="BI22" s="60">
        <f t="shared" ref="BI22:BI35" si="54">BH22+BG22</f>
        <v>550333</v>
      </c>
      <c r="BJ22" s="60"/>
      <c r="BK22" s="162">
        <v>2168958</v>
      </c>
      <c r="BL22" s="60">
        <f t="shared" ref="BL22:BL35" si="55">BK22+BJ22</f>
        <v>2168958</v>
      </c>
      <c r="BM22" s="60">
        <v>4583727</v>
      </c>
      <c r="BN22" s="60">
        <v>9185933</v>
      </c>
      <c r="BO22" s="60">
        <f t="shared" ref="BO22:BO35" si="56">BN22+BM22</f>
        <v>13769660</v>
      </c>
      <c r="BP22" s="60"/>
      <c r="BQ22" s="60"/>
      <c r="BR22" s="60">
        <v>2528902</v>
      </c>
      <c r="BS22" s="60">
        <v>225996</v>
      </c>
      <c r="BT22" s="60">
        <v>575649</v>
      </c>
      <c r="BU22" s="60">
        <f t="shared" ref="BU22:BU35" si="57">BT22+BS22</f>
        <v>801645</v>
      </c>
      <c r="BV22" s="60">
        <v>195014</v>
      </c>
      <c r="BW22" s="60">
        <v>1252296</v>
      </c>
      <c r="BX22" s="60">
        <f t="shared" ref="BX22:BX35" si="58">BW22+BV22</f>
        <v>1447310</v>
      </c>
      <c r="BY22" s="60"/>
      <c r="BZ22" s="60"/>
      <c r="CA22" s="60">
        <v>210152</v>
      </c>
      <c r="CB22" s="60"/>
      <c r="CC22" s="60"/>
      <c r="CD22" s="60">
        <f t="shared" ref="CD22:CD35" si="59">CC22+CB22</f>
        <v>0</v>
      </c>
      <c r="CE22" s="60">
        <v>149998</v>
      </c>
      <c r="CF22" s="60">
        <v>1454926</v>
      </c>
      <c r="CG22" s="60">
        <f t="shared" ref="CG22:CG35" si="60">CF22+CE22</f>
        <v>1604924</v>
      </c>
      <c r="CH22" s="60">
        <v>3276873</v>
      </c>
      <c r="CI22" s="60">
        <v>23794822</v>
      </c>
      <c r="CJ22" s="60">
        <f t="shared" ref="CJ22:CJ35" si="61">CI22+CH22</f>
        <v>27071695</v>
      </c>
      <c r="CK22" s="60"/>
      <c r="CL22" s="60"/>
      <c r="CM22" s="60">
        <f t="shared" ref="CM22:CM35" si="62">CL22+CK22</f>
        <v>0</v>
      </c>
      <c r="CN22" s="60"/>
      <c r="CO22" s="60"/>
      <c r="CP22" s="60">
        <f t="shared" ref="CP22:CP35" si="63">CO22+CN22</f>
        <v>0</v>
      </c>
      <c r="CQ22" s="60"/>
      <c r="CR22" s="60"/>
      <c r="CS22" s="60">
        <v>11791315</v>
      </c>
      <c r="CT22" s="60">
        <v>547609</v>
      </c>
      <c r="CU22" s="60">
        <v>1522088</v>
      </c>
      <c r="CV22" s="60">
        <f t="shared" ref="CV22:CV35" si="64">CU22+CT22</f>
        <v>2069697</v>
      </c>
    </row>
    <row r="23" spans="1:100" ht="15" customHeight="1" x14ac:dyDescent="0.25">
      <c r="A23" s="61" t="s">
        <v>194</v>
      </c>
      <c r="B23" s="60"/>
      <c r="C23" s="60"/>
      <c r="D23" s="60">
        <f t="shared" si="36"/>
        <v>0</v>
      </c>
      <c r="E23" s="60"/>
      <c r="F23" s="60"/>
      <c r="G23" s="60">
        <f t="shared" si="37"/>
        <v>0</v>
      </c>
      <c r="H23" s="60"/>
      <c r="I23" s="60"/>
      <c r="J23" s="60">
        <v>2388142</v>
      </c>
      <c r="K23" s="60"/>
      <c r="L23" s="60"/>
      <c r="M23" s="60">
        <f t="shared" si="38"/>
        <v>0</v>
      </c>
      <c r="N23" s="60"/>
      <c r="O23" s="60"/>
      <c r="P23" s="60">
        <f t="shared" si="39"/>
        <v>0</v>
      </c>
      <c r="Q23" s="60"/>
      <c r="R23" s="60"/>
      <c r="S23" s="60">
        <f t="shared" si="40"/>
        <v>0</v>
      </c>
      <c r="T23" s="60"/>
      <c r="U23" s="60"/>
      <c r="V23" s="60">
        <f t="shared" si="41"/>
        <v>0</v>
      </c>
      <c r="W23" s="60"/>
      <c r="X23" s="60"/>
      <c r="Y23" s="60">
        <f t="shared" si="42"/>
        <v>0</v>
      </c>
      <c r="Z23" s="60">
        <v>3001</v>
      </c>
      <c r="AA23" s="60"/>
      <c r="AB23" s="60">
        <f t="shared" si="43"/>
        <v>3001</v>
      </c>
      <c r="AC23" s="60"/>
      <c r="AD23" s="60"/>
      <c r="AE23" s="60">
        <f t="shared" si="44"/>
        <v>0</v>
      </c>
      <c r="AF23" s="60"/>
      <c r="AG23" s="60"/>
      <c r="AH23" s="60">
        <f t="shared" si="45"/>
        <v>0</v>
      </c>
      <c r="AI23" s="60"/>
      <c r="AJ23" s="60"/>
      <c r="AK23" s="60">
        <f t="shared" si="46"/>
        <v>0</v>
      </c>
      <c r="AL23" s="60"/>
      <c r="AM23" s="60"/>
      <c r="AN23" s="60">
        <f t="shared" si="47"/>
        <v>0</v>
      </c>
      <c r="AO23" s="60">
        <v>2193888</v>
      </c>
      <c r="AP23" s="60">
        <v>7717241</v>
      </c>
      <c r="AQ23" s="60">
        <f t="shared" si="48"/>
        <v>9911129</v>
      </c>
      <c r="AR23" s="10">
        <v>2193322</v>
      </c>
      <c r="AS23" s="10">
        <v>9165577</v>
      </c>
      <c r="AT23" s="60">
        <f t="shared" si="49"/>
        <v>11358899</v>
      </c>
      <c r="AU23" s="60"/>
      <c r="AV23" s="60"/>
      <c r="AW23" s="60">
        <f t="shared" si="50"/>
        <v>0</v>
      </c>
      <c r="AX23" s="60"/>
      <c r="AY23" s="60"/>
      <c r="AZ23" s="60">
        <f t="shared" si="51"/>
        <v>0</v>
      </c>
      <c r="BA23" s="60"/>
      <c r="BB23" s="60"/>
      <c r="BC23" s="60">
        <f t="shared" si="52"/>
        <v>0</v>
      </c>
      <c r="BD23" s="60"/>
      <c r="BE23" s="60"/>
      <c r="BF23" s="60">
        <f t="shared" si="53"/>
        <v>0</v>
      </c>
      <c r="BG23" s="60"/>
      <c r="BH23" s="60"/>
      <c r="BI23" s="60">
        <f t="shared" si="54"/>
        <v>0</v>
      </c>
      <c r="BJ23" s="60"/>
      <c r="BK23" s="60"/>
      <c r="BL23" s="60">
        <f t="shared" si="55"/>
        <v>0</v>
      </c>
      <c r="BM23" s="60"/>
      <c r="BN23" s="60"/>
      <c r="BO23" s="60">
        <f t="shared" si="56"/>
        <v>0</v>
      </c>
      <c r="BP23" s="60"/>
      <c r="BQ23" s="60"/>
      <c r="BR23" s="60">
        <f t="shared" ref="BR23:BR35" si="65">BQ23+BP23</f>
        <v>0</v>
      </c>
      <c r="BS23" s="60"/>
      <c r="BT23" s="60"/>
      <c r="BU23" s="60">
        <f t="shared" si="57"/>
        <v>0</v>
      </c>
      <c r="BV23" s="60">
        <v>142000</v>
      </c>
      <c r="BW23" s="60">
        <v>911860</v>
      </c>
      <c r="BX23" s="60">
        <f t="shared" si="58"/>
        <v>1053860</v>
      </c>
      <c r="BY23" s="60"/>
      <c r="BZ23" s="60"/>
      <c r="CA23" s="60">
        <f t="shared" ref="CA23:CA33" si="66">BZ23+BY23</f>
        <v>0</v>
      </c>
      <c r="CB23" s="60"/>
      <c r="CC23" s="60"/>
      <c r="CD23" s="60">
        <f t="shared" si="59"/>
        <v>0</v>
      </c>
      <c r="CE23" s="60"/>
      <c r="CF23" s="60">
        <v>200201</v>
      </c>
      <c r="CG23" s="60">
        <f t="shared" si="60"/>
        <v>200201</v>
      </c>
      <c r="CH23" s="60">
        <v>757</v>
      </c>
      <c r="CI23" s="60">
        <v>8297309</v>
      </c>
      <c r="CJ23" s="60">
        <f t="shared" si="61"/>
        <v>8298066</v>
      </c>
      <c r="CK23" s="60">
        <v>135068</v>
      </c>
      <c r="CL23" s="60">
        <v>184877</v>
      </c>
      <c r="CM23" s="60">
        <f t="shared" si="62"/>
        <v>319945</v>
      </c>
      <c r="CN23" s="60"/>
      <c r="CO23" s="60"/>
      <c r="CP23" s="60"/>
      <c r="CQ23" s="60"/>
      <c r="CR23" s="60"/>
      <c r="CS23" s="60">
        <f t="shared" ref="CS23:CS33" si="67">CR23+CQ23</f>
        <v>0</v>
      </c>
      <c r="CT23" s="60"/>
      <c r="CU23" s="60"/>
      <c r="CV23" s="60">
        <f t="shared" si="64"/>
        <v>0</v>
      </c>
    </row>
    <row r="24" spans="1:100" ht="15" customHeight="1" x14ac:dyDescent="0.25">
      <c r="A24" s="61" t="s">
        <v>195</v>
      </c>
      <c r="B24" s="60"/>
      <c r="C24" s="60"/>
      <c r="D24" s="60">
        <f t="shared" si="36"/>
        <v>0</v>
      </c>
      <c r="E24" s="60"/>
      <c r="F24" s="60"/>
      <c r="G24" s="60">
        <f t="shared" si="37"/>
        <v>0</v>
      </c>
      <c r="H24" s="60"/>
      <c r="I24" s="60"/>
      <c r="J24" s="60">
        <f t="shared" ref="J24:J33" si="68">I24+H24</f>
        <v>0</v>
      </c>
      <c r="K24" s="60"/>
      <c r="L24" s="60"/>
      <c r="M24" s="60">
        <f t="shared" si="38"/>
        <v>0</v>
      </c>
      <c r="N24" s="60"/>
      <c r="O24" s="60"/>
      <c r="P24" s="60">
        <f t="shared" si="39"/>
        <v>0</v>
      </c>
      <c r="Q24" s="60"/>
      <c r="R24" s="60"/>
      <c r="S24" s="60">
        <f t="shared" si="40"/>
        <v>0</v>
      </c>
      <c r="T24" s="60"/>
      <c r="U24" s="60"/>
      <c r="V24" s="60">
        <f t="shared" si="41"/>
        <v>0</v>
      </c>
      <c r="W24" s="60"/>
      <c r="X24" s="60"/>
      <c r="Y24" s="60">
        <f t="shared" si="42"/>
        <v>0</v>
      </c>
      <c r="Z24" s="60"/>
      <c r="AA24" s="60"/>
      <c r="AB24" s="60">
        <f t="shared" si="43"/>
        <v>0</v>
      </c>
      <c r="AC24" s="60"/>
      <c r="AD24" s="60"/>
      <c r="AE24" s="60">
        <f t="shared" si="44"/>
        <v>0</v>
      </c>
      <c r="AF24" s="60"/>
      <c r="AG24" s="60"/>
      <c r="AH24" s="60">
        <f t="shared" si="45"/>
        <v>0</v>
      </c>
      <c r="AI24" s="60"/>
      <c r="AJ24" s="60"/>
      <c r="AK24" s="60">
        <f t="shared" si="46"/>
        <v>0</v>
      </c>
      <c r="AL24" s="60"/>
      <c r="AM24" s="60"/>
      <c r="AN24" s="60">
        <f t="shared" si="47"/>
        <v>0</v>
      </c>
      <c r="AO24" s="60"/>
      <c r="AP24" s="60"/>
      <c r="AQ24" s="60">
        <f t="shared" si="48"/>
        <v>0</v>
      </c>
      <c r="AR24" s="60"/>
      <c r="AS24" s="60"/>
      <c r="AT24" s="60">
        <f t="shared" si="49"/>
        <v>0</v>
      </c>
      <c r="AU24" s="60"/>
      <c r="AV24" s="60"/>
      <c r="AW24" s="60">
        <f t="shared" si="50"/>
        <v>0</v>
      </c>
      <c r="AX24" s="60"/>
      <c r="AY24" s="60"/>
      <c r="AZ24" s="60">
        <f t="shared" si="51"/>
        <v>0</v>
      </c>
      <c r="BA24" s="60"/>
      <c r="BB24" s="60"/>
      <c r="BC24" s="60">
        <f t="shared" si="52"/>
        <v>0</v>
      </c>
      <c r="BD24" s="60"/>
      <c r="BE24" s="60"/>
      <c r="BF24" s="60">
        <f t="shared" si="53"/>
        <v>0</v>
      </c>
      <c r="BG24" s="60"/>
      <c r="BH24" s="60"/>
      <c r="BI24" s="60">
        <f t="shared" si="54"/>
        <v>0</v>
      </c>
      <c r="BJ24" s="60"/>
      <c r="BK24" s="60"/>
      <c r="BL24" s="60">
        <f t="shared" si="55"/>
        <v>0</v>
      </c>
      <c r="BM24" s="60"/>
      <c r="BN24" s="60"/>
      <c r="BO24" s="60">
        <f t="shared" si="56"/>
        <v>0</v>
      </c>
      <c r="BP24" s="60"/>
      <c r="BQ24" s="60"/>
      <c r="BR24" s="60">
        <f t="shared" si="65"/>
        <v>0</v>
      </c>
      <c r="BS24" s="60"/>
      <c r="BT24" s="60"/>
      <c r="BU24" s="60">
        <f t="shared" si="57"/>
        <v>0</v>
      </c>
      <c r="BV24" s="60"/>
      <c r="BW24" s="60"/>
      <c r="BX24" s="60">
        <f t="shared" si="58"/>
        <v>0</v>
      </c>
      <c r="BY24" s="60"/>
      <c r="BZ24" s="60"/>
      <c r="CA24" s="60">
        <f t="shared" si="66"/>
        <v>0</v>
      </c>
      <c r="CB24" s="60"/>
      <c r="CC24" s="60"/>
      <c r="CD24" s="60">
        <f t="shared" si="59"/>
        <v>0</v>
      </c>
      <c r="CE24" s="60"/>
      <c r="CF24" s="60"/>
      <c r="CG24" s="60">
        <f t="shared" si="60"/>
        <v>0</v>
      </c>
      <c r="CH24" s="60"/>
      <c r="CI24" s="60"/>
      <c r="CJ24" s="60">
        <f t="shared" si="61"/>
        <v>0</v>
      </c>
      <c r="CK24" s="60"/>
      <c r="CL24" s="60"/>
      <c r="CM24" s="60">
        <f t="shared" si="62"/>
        <v>0</v>
      </c>
      <c r="CN24" s="60"/>
      <c r="CO24" s="60"/>
      <c r="CP24" s="60">
        <f t="shared" si="63"/>
        <v>0</v>
      </c>
      <c r="CQ24" s="60"/>
      <c r="CR24" s="60"/>
      <c r="CS24" s="60">
        <f t="shared" si="67"/>
        <v>0</v>
      </c>
      <c r="CT24" s="60"/>
      <c r="CU24" s="60"/>
      <c r="CV24" s="60">
        <f t="shared" si="64"/>
        <v>0</v>
      </c>
    </row>
    <row r="25" spans="1:100" ht="15" customHeight="1" x14ac:dyDescent="0.25">
      <c r="A25" s="61" t="s">
        <v>196</v>
      </c>
      <c r="B25" s="60"/>
      <c r="C25" s="60"/>
      <c r="D25" s="60">
        <f t="shared" si="36"/>
        <v>0</v>
      </c>
      <c r="E25" s="60"/>
      <c r="F25" s="60"/>
      <c r="G25" s="60">
        <f t="shared" si="37"/>
        <v>0</v>
      </c>
      <c r="H25" s="60"/>
      <c r="I25" s="60"/>
      <c r="J25" s="60">
        <f t="shared" si="68"/>
        <v>0</v>
      </c>
      <c r="K25" s="60"/>
      <c r="L25" s="60"/>
      <c r="M25" s="60">
        <f t="shared" si="38"/>
        <v>0</v>
      </c>
      <c r="N25" s="60"/>
      <c r="O25" s="60"/>
      <c r="P25" s="60">
        <f t="shared" si="39"/>
        <v>0</v>
      </c>
      <c r="Q25" s="60"/>
      <c r="R25" s="60"/>
      <c r="S25" s="60">
        <f t="shared" si="40"/>
        <v>0</v>
      </c>
      <c r="T25" s="60"/>
      <c r="U25" s="60"/>
      <c r="V25" s="60">
        <f t="shared" si="41"/>
        <v>0</v>
      </c>
      <c r="W25" s="60"/>
      <c r="X25" s="60"/>
      <c r="Y25" s="60">
        <f t="shared" si="42"/>
        <v>0</v>
      </c>
      <c r="Z25" s="60"/>
      <c r="AA25" s="60"/>
      <c r="AB25" s="60">
        <f t="shared" si="43"/>
        <v>0</v>
      </c>
      <c r="AC25" s="60"/>
      <c r="AD25" s="60"/>
      <c r="AE25" s="60">
        <f t="shared" si="44"/>
        <v>0</v>
      </c>
      <c r="AF25" s="60"/>
      <c r="AG25" s="60"/>
      <c r="AH25" s="60">
        <f t="shared" si="45"/>
        <v>0</v>
      </c>
      <c r="AI25" s="60"/>
      <c r="AJ25" s="60"/>
      <c r="AK25" s="60">
        <f t="shared" si="46"/>
        <v>0</v>
      </c>
      <c r="AL25" s="60"/>
      <c r="AM25" s="60"/>
      <c r="AN25" s="60">
        <f t="shared" si="47"/>
        <v>0</v>
      </c>
      <c r="AO25" s="60"/>
      <c r="AP25" s="60"/>
      <c r="AQ25" s="60">
        <f t="shared" si="48"/>
        <v>0</v>
      </c>
      <c r="AR25" s="60"/>
      <c r="AS25" s="60"/>
      <c r="AT25" s="60">
        <f t="shared" si="49"/>
        <v>0</v>
      </c>
      <c r="AU25" s="60"/>
      <c r="AV25" s="60"/>
      <c r="AW25" s="60">
        <f t="shared" si="50"/>
        <v>0</v>
      </c>
      <c r="AX25" s="60"/>
      <c r="AY25" s="60"/>
      <c r="AZ25" s="60">
        <f t="shared" si="51"/>
        <v>0</v>
      </c>
      <c r="BA25" s="60"/>
      <c r="BB25" s="60"/>
      <c r="BC25" s="60">
        <f t="shared" si="52"/>
        <v>0</v>
      </c>
      <c r="BD25" s="60"/>
      <c r="BE25" s="60"/>
      <c r="BF25" s="60">
        <f t="shared" si="53"/>
        <v>0</v>
      </c>
      <c r="BG25" s="60"/>
      <c r="BH25" s="60"/>
      <c r="BI25" s="60">
        <f t="shared" si="54"/>
        <v>0</v>
      </c>
      <c r="BJ25" s="60"/>
      <c r="BK25" s="60"/>
      <c r="BL25" s="60">
        <f t="shared" si="55"/>
        <v>0</v>
      </c>
      <c r="BM25" s="60"/>
      <c r="BN25" s="60"/>
      <c r="BO25" s="60">
        <f t="shared" si="56"/>
        <v>0</v>
      </c>
      <c r="BP25" s="60"/>
      <c r="BQ25" s="60"/>
      <c r="BR25" s="60">
        <f t="shared" si="65"/>
        <v>0</v>
      </c>
      <c r="BS25" s="60"/>
      <c r="BT25" s="60"/>
      <c r="BU25" s="60">
        <f t="shared" si="57"/>
        <v>0</v>
      </c>
      <c r="BV25" s="60"/>
      <c r="BW25" s="60"/>
      <c r="BX25" s="60">
        <f t="shared" si="58"/>
        <v>0</v>
      </c>
      <c r="BY25" s="60"/>
      <c r="BZ25" s="60"/>
      <c r="CA25" s="60">
        <f t="shared" si="66"/>
        <v>0</v>
      </c>
      <c r="CB25" s="60"/>
      <c r="CC25" s="60"/>
      <c r="CD25" s="60">
        <f t="shared" si="59"/>
        <v>0</v>
      </c>
      <c r="CE25" s="60"/>
      <c r="CF25" s="60"/>
      <c r="CG25" s="60">
        <f t="shared" si="60"/>
        <v>0</v>
      </c>
      <c r="CH25" s="60"/>
      <c r="CI25" s="60"/>
      <c r="CJ25" s="60">
        <f t="shared" si="61"/>
        <v>0</v>
      </c>
      <c r="CK25" s="60"/>
      <c r="CL25" s="60"/>
      <c r="CM25" s="60">
        <f t="shared" si="62"/>
        <v>0</v>
      </c>
      <c r="CN25" s="60"/>
      <c r="CO25" s="60"/>
      <c r="CP25" s="60">
        <f t="shared" si="63"/>
        <v>0</v>
      </c>
      <c r="CQ25" s="60"/>
      <c r="CR25" s="60"/>
      <c r="CS25" s="60">
        <f t="shared" si="67"/>
        <v>0</v>
      </c>
      <c r="CT25" s="60"/>
      <c r="CU25" s="60"/>
      <c r="CV25" s="60">
        <f t="shared" si="64"/>
        <v>0</v>
      </c>
    </row>
    <row r="26" spans="1:100" ht="15" customHeight="1" x14ac:dyDescent="0.25">
      <c r="A26" s="61" t="s">
        <v>197</v>
      </c>
      <c r="B26" s="60"/>
      <c r="C26" s="60"/>
      <c r="D26" s="60">
        <f t="shared" si="36"/>
        <v>0</v>
      </c>
      <c r="E26" s="60"/>
      <c r="F26" s="60"/>
      <c r="G26" s="60">
        <f t="shared" si="37"/>
        <v>0</v>
      </c>
      <c r="H26" s="60"/>
      <c r="I26" s="60"/>
      <c r="J26" s="60">
        <f t="shared" si="68"/>
        <v>0</v>
      </c>
      <c r="K26" s="60"/>
      <c r="L26" s="60"/>
      <c r="M26" s="60">
        <f t="shared" si="38"/>
        <v>0</v>
      </c>
      <c r="N26" s="60"/>
      <c r="O26" s="60"/>
      <c r="P26" s="60">
        <f t="shared" si="39"/>
        <v>0</v>
      </c>
      <c r="Q26" s="60"/>
      <c r="R26" s="60"/>
      <c r="S26" s="60">
        <f t="shared" si="40"/>
        <v>0</v>
      </c>
      <c r="T26" s="60"/>
      <c r="U26" s="60"/>
      <c r="V26" s="60">
        <f t="shared" si="41"/>
        <v>0</v>
      </c>
      <c r="W26" s="60"/>
      <c r="X26" s="60"/>
      <c r="Y26" s="60">
        <f t="shared" si="42"/>
        <v>0</v>
      </c>
      <c r="Z26" s="60">
        <v>82795</v>
      </c>
      <c r="AA26" s="60">
        <v>12612</v>
      </c>
      <c r="AB26" s="60">
        <f t="shared" si="43"/>
        <v>95407</v>
      </c>
      <c r="AC26" s="60"/>
      <c r="AD26" s="60"/>
      <c r="AE26" s="60">
        <f t="shared" si="44"/>
        <v>0</v>
      </c>
      <c r="AF26" s="60"/>
      <c r="AG26" s="60"/>
      <c r="AH26" s="60">
        <f t="shared" si="45"/>
        <v>0</v>
      </c>
      <c r="AI26" s="60"/>
      <c r="AJ26" s="60"/>
      <c r="AK26" s="60">
        <f t="shared" si="46"/>
        <v>0</v>
      </c>
      <c r="AL26" s="60"/>
      <c r="AM26" s="60"/>
      <c r="AN26" s="60">
        <f t="shared" si="47"/>
        <v>0</v>
      </c>
      <c r="AO26" s="60"/>
      <c r="AP26" s="60"/>
      <c r="AQ26" s="60">
        <f t="shared" si="48"/>
        <v>0</v>
      </c>
      <c r="AR26" s="60"/>
      <c r="AS26" s="60"/>
      <c r="AT26" s="60">
        <f t="shared" si="49"/>
        <v>0</v>
      </c>
      <c r="AU26" s="60"/>
      <c r="AV26" s="60"/>
      <c r="AW26" s="60">
        <f t="shared" si="50"/>
        <v>0</v>
      </c>
      <c r="AX26" s="60"/>
      <c r="AY26" s="60"/>
      <c r="AZ26" s="60">
        <f t="shared" si="51"/>
        <v>0</v>
      </c>
      <c r="BA26" s="60"/>
      <c r="BB26" s="60"/>
      <c r="BC26" s="60">
        <f t="shared" si="52"/>
        <v>0</v>
      </c>
      <c r="BD26" s="60"/>
      <c r="BE26" s="60"/>
      <c r="BF26" s="60">
        <f t="shared" si="53"/>
        <v>0</v>
      </c>
      <c r="BG26" s="60"/>
      <c r="BH26" s="60"/>
      <c r="BI26" s="60">
        <f t="shared" si="54"/>
        <v>0</v>
      </c>
      <c r="BJ26" s="60"/>
      <c r="BK26" s="60"/>
      <c r="BL26" s="60">
        <f t="shared" si="55"/>
        <v>0</v>
      </c>
      <c r="BM26" s="60"/>
      <c r="BN26" s="60"/>
      <c r="BO26" s="60">
        <f t="shared" si="56"/>
        <v>0</v>
      </c>
      <c r="BP26" s="60"/>
      <c r="BQ26" s="60"/>
      <c r="BR26" s="60">
        <f t="shared" si="65"/>
        <v>0</v>
      </c>
      <c r="BS26" s="60"/>
      <c r="BT26" s="60"/>
      <c r="BU26" s="60">
        <f t="shared" si="57"/>
        <v>0</v>
      </c>
      <c r="BV26" s="60">
        <v>146242</v>
      </c>
      <c r="BW26" s="60">
        <v>939103</v>
      </c>
      <c r="BX26" s="60">
        <f t="shared" si="58"/>
        <v>1085345</v>
      </c>
      <c r="BY26" s="60"/>
      <c r="BZ26" s="60"/>
      <c r="CA26" s="60">
        <f t="shared" si="66"/>
        <v>0</v>
      </c>
      <c r="CB26" s="60">
        <v>438358</v>
      </c>
      <c r="CC26" s="60">
        <v>1809855</v>
      </c>
      <c r="CD26" s="60">
        <f t="shared" si="59"/>
        <v>2248213</v>
      </c>
      <c r="CE26" s="60"/>
      <c r="CF26" s="60"/>
      <c r="CG26" s="60">
        <f t="shared" si="60"/>
        <v>0</v>
      </c>
      <c r="CH26" s="60"/>
      <c r="CI26" s="60"/>
      <c r="CJ26" s="60">
        <f t="shared" si="61"/>
        <v>0</v>
      </c>
      <c r="CK26" s="60"/>
      <c r="CL26" s="60"/>
      <c r="CM26" s="60">
        <f t="shared" si="62"/>
        <v>0</v>
      </c>
      <c r="CN26" s="60"/>
      <c r="CO26" s="60"/>
      <c r="CP26" s="60">
        <f t="shared" si="63"/>
        <v>0</v>
      </c>
      <c r="CQ26" s="60"/>
      <c r="CR26" s="60"/>
      <c r="CS26" s="60">
        <f t="shared" si="67"/>
        <v>0</v>
      </c>
      <c r="CT26" s="60">
        <v>55554</v>
      </c>
      <c r="CU26" s="60">
        <v>154414</v>
      </c>
      <c r="CV26" s="60">
        <f t="shared" si="64"/>
        <v>209968</v>
      </c>
    </row>
    <row r="27" spans="1:100" ht="15" customHeight="1" x14ac:dyDescent="0.25">
      <c r="A27" s="61" t="s">
        <v>198</v>
      </c>
      <c r="B27" s="60"/>
      <c r="C27" s="60"/>
      <c r="D27" s="60">
        <f t="shared" si="36"/>
        <v>0</v>
      </c>
      <c r="E27" s="60"/>
      <c r="F27" s="60"/>
      <c r="G27" s="60">
        <f t="shared" si="37"/>
        <v>0</v>
      </c>
      <c r="H27" s="60"/>
      <c r="I27" s="60"/>
      <c r="J27" s="60">
        <f t="shared" si="68"/>
        <v>0</v>
      </c>
      <c r="K27" s="60"/>
      <c r="L27" s="60"/>
      <c r="M27" s="60">
        <f t="shared" si="38"/>
        <v>0</v>
      </c>
      <c r="N27" s="60"/>
      <c r="O27" s="60">
        <v>402500</v>
      </c>
      <c r="P27" s="60">
        <f t="shared" si="39"/>
        <v>402500</v>
      </c>
      <c r="Q27" s="60"/>
      <c r="R27" s="60"/>
      <c r="S27" s="60">
        <f t="shared" si="40"/>
        <v>0</v>
      </c>
      <c r="T27" s="60"/>
      <c r="U27" s="60"/>
      <c r="V27" s="60">
        <f t="shared" si="41"/>
        <v>0</v>
      </c>
      <c r="W27" s="60"/>
      <c r="X27" s="60"/>
      <c r="Y27" s="60">
        <f t="shared" si="42"/>
        <v>0</v>
      </c>
      <c r="Z27" s="60"/>
      <c r="AA27" s="60"/>
      <c r="AB27" s="60">
        <f t="shared" si="43"/>
        <v>0</v>
      </c>
      <c r="AC27" s="60"/>
      <c r="AD27" s="60"/>
      <c r="AE27" s="60">
        <f t="shared" si="44"/>
        <v>0</v>
      </c>
      <c r="AF27" s="60"/>
      <c r="AG27" s="60"/>
      <c r="AH27" s="60">
        <f t="shared" si="45"/>
        <v>0</v>
      </c>
      <c r="AI27" s="60"/>
      <c r="AJ27" s="60"/>
      <c r="AK27" s="60">
        <f t="shared" si="46"/>
        <v>0</v>
      </c>
      <c r="AL27" s="60"/>
      <c r="AM27" s="60"/>
      <c r="AN27" s="60">
        <f t="shared" si="47"/>
        <v>0</v>
      </c>
      <c r="AO27" s="60"/>
      <c r="AP27" s="60"/>
      <c r="AQ27" s="60">
        <f t="shared" si="48"/>
        <v>0</v>
      </c>
      <c r="AR27" s="60"/>
      <c r="AS27" s="60"/>
      <c r="AT27" s="60">
        <f t="shared" si="49"/>
        <v>0</v>
      </c>
      <c r="AU27" s="60"/>
      <c r="AV27" s="60"/>
      <c r="AW27" s="60">
        <f t="shared" si="50"/>
        <v>0</v>
      </c>
      <c r="AX27" s="60"/>
      <c r="AY27" s="60"/>
      <c r="AZ27" s="60">
        <f t="shared" si="51"/>
        <v>0</v>
      </c>
      <c r="BA27" s="60">
        <v>2513</v>
      </c>
      <c r="BB27" s="60">
        <v>15780</v>
      </c>
      <c r="BC27" s="60">
        <f t="shared" si="52"/>
        <v>18293</v>
      </c>
      <c r="BD27" s="60"/>
      <c r="BE27" s="60"/>
      <c r="BF27" s="60">
        <f t="shared" si="53"/>
        <v>0</v>
      </c>
      <c r="BG27" s="60"/>
      <c r="BH27" s="60"/>
      <c r="BI27" s="60">
        <f t="shared" si="54"/>
        <v>0</v>
      </c>
      <c r="BJ27" s="60"/>
      <c r="BK27" s="162">
        <v>2565</v>
      </c>
      <c r="BL27" s="60">
        <f t="shared" si="55"/>
        <v>2565</v>
      </c>
      <c r="BM27" s="60"/>
      <c r="BN27" s="60"/>
      <c r="BO27" s="60">
        <f t="shared" si="56"/>
        <v>0</v>
      </c>
      <c r="BP27" s="60"/>
      <c r="BQ27" s="60"/>
      <c r="BR27" s="60">
        <v>82</v>
      </c>
      <c r="BS27" s="60"/>
      <c r="BT27" s="60"/>
      <c r="BU27" s="60">
        <f t="shared" si="57"/>
        <v>0</v>
      </c>
      <c r="BV27" s="60"/>
      <c r="BW27" s="60"/>
      <c r="BX27" s="60">
        <f t="shared" si="58"/>
        <v>0</v>
      </c>
      <c r="BY27" s="60"/>
      <c r="BZ27" s="60"/>
      <c r="CA27" s="60">
        <f t="shared" si="66"/>
        <v>0</v>
      </c>
      <c r="CB27" s="60"/>
      <c r="CC27" s="60"/>
      <c r="CD27" s="60">
        <f t="shared" si="59"/>
        <v>0</v>
      </c>
      <c r="CE27" s="60"/>
      <c r="CF27" s="60"/>
      <c r="CG27" s="60">
        <f t="shared" si="60"/>
        <v>0</v>
      </c>
      <c r="CH27" s="60"/>
      <c r="CI27" s="60"/>
      <c r="CJ27" s="60">
        <f t="shared" si="61"/>
        <v>0</v>
      </c>
      <c r="CK27" s="60"/>
      <c r="CL27" s="60"/>
      <c r="CM27" s="60">
        <f t="shared" si="62"/>
        <v>0</v>
      </c>
      <c r="CN27" s="60"/>
      <c r="CO27" s="60"/>
      <c r="CP27" s="60">
        <f t="shared" si="63"/>
        <v>0</v>
      </c>
      <c r="CQ27" s="60"/>
      <c r="CR27" s="60"/>
      <c r="CS27" s="60">
        <f t="shared" si="67"/>
        <v>0</v>
      </c>
      <c r="CT27" s="60"/>
      <c r="CU27" s="60"/>
      <c r="CV27" s="60">
        <f t="shared" si="64"/>
        <v>0</v>
      </c>
    </row>
    <row r="28" spans="1:100" ht="15" customHeight="1" x14ac:dyDescent="0.25">
      <c r="A28" s="61" t="s">
        <v>199</v>
      </c>
      <c r="B28" s="60">
        <v>21360</v>
      </c>
      <c r="C28" s="60">
        <v>28858</v>
      </c>
      <c r="D28" s="60">
        <f t="shared" si="36"/>
        <v>50218</v>
      </c>
      <c r="E28" s="60">
        <v>101846</v>
      </c>
      <c r="F28" s="60">
        <v>570335</v>
      </c>
      <c r="G28" s="60">
        <f t="shared" si="37"/>
        <v>672181</v>
      </c>
      <c r="H28" s="60"/>
      <c r="I28" s="60"/>
      <c r="J28" s="60">
        <v>4498145</v>
      </c>
      <c r="K28" s="60"/>
      <c r="L28" s="60">
        <v>1825509</v>
      </c>
      <c r="M28" s="60">
        <f t="shared" si="38"/>
        <v>1825509</v>
      </c>
      <c r="N28" s="60"/>
      <c r="O28" s="60"/>
      <c r="P28" s="60">
        <f t="shared" si="39"/>
        <v>0</v>
      </c>
      <c r="Q28" s="60">
        <v>83502</v>
      </c>
      <c r="R28" s="60">
        <v>508709</v>
      </c>
      <c r="S28" s="60">
        <f t="shared" si="40"/>
        <v>592211</v>
      </c>
      <c r="T28" s="60">
        <v>69011</v>
      </c>
      <c r="U28" s="60">
        <v>791006</v>
      </c>
      <c r="V28" s="60">
        <f t="shared" si="41"/>
        <v>860017</v>
      </c>
      <c r="W28" s="60">
        <v>194292</v>
      </c>
      <c r="X28" s="60">
        <v>91828</v>
      </c>
      <c r="Y28" s="60">
        <f t="shared" si="42"/>
        <v>286120</v>
      </c>
      <c r="Z28" s="60">
        <v>30011</v>
      </c>
      <c r="AA28" s="60"/>
      <c r="AB28" s="60">
        <f t="shared" si="43"/>
        <v>30011</v>
      </c>
      <c r="AC28" s="60">
        <v>3285321.66</v>
      </c>
      <c r="AD28" s="60">
        <v>4727657.99</v>
      </c>
      <c r="AE28" s="60">
        <f t="shared" si="44"/>
        <v>8012979.6500000004</v>
      </c>
      <c r="AF28" s="60">
        <v>123</v>
      </c>
      <c r="AG28" s="60">
        <v>560</v>
      </c>
      <c r="AH28" s="60">
        <f t="shared" si="45"/>
        <v>683</v>
      </c>
      <c r="AI28" s="60"/>
      <c r="AJ28" s="60">
        <v>916120</v>
      </c>
      <c r="AK28" s="60">
        <f t="shared" si="46"/>
        <v>916120</v>
      </c>
      <c r="AL28" s="60">
        <v>696752</v>
      </c>
      <c r="AM28" s="60">
        <v>4804808</v>
      </c>
      <c r="AN28" s="60">
        <f t="shared" si="47"/>
        <v>5501560</v>
      </c>
      <c r="AO28" s="60">
        <v>1720359</v>
      </c>
      <c r="AP28" s="60">
        <v>5406520</v>
      </c>
      <c r="AQ28" s="60">
        <f t="shared" si="48"/>
        <v>7126879</v>
      </c>
      <c r="AR28" s="10">
        <v>108175</v>
      </c>
      <c r="AS28" s="10">
        <v>452050</v>
      </c>
      <c r="AT28" s="60">
        <f t="shared" si="49"/>
        <v>560225</v>
      </c>
      <c r="AU28" s="60">
        <v>18295</v>
      </c>
      <c r="AV28" s="60">
        <v>58121</v>
      </c>
      <c r="AW28" s="60">
        <f t="shared" si="50"/>
        <v>76416</v>
      </c>
      <c r="AX28" s="60">
        <v>173208</v>
      </c>
      <c r="AY28" s="60">
        <v>557736</v>
      </c>
      <c r="AZ28" s="60">
        <f t="shared" si="51"/>
        <v>730944</v>
      </c>
      <c r="BA28" s="60">
        <v>59380</v>
      </c>
      <c r="BB28" s="60">
        <v>372810</v>
      </c>
      <c r="BC28" s="60">
        <f t="shared" si="52"/>
        <v>432190</v>
      </c>
      <c r="BD28" s="60">
        <v>46823</v>
      </c>
      <c r="BE28" s="60">
        <v>170654</v>
      </c>
      <c r="BF28" s="60">
        <f t="shared" si="53"/>
        <v>217477</v>
      </c>
      <c r="BG28" s="60">
        <v>6060</v>
      </c>
      <c r="BH28" s="60">
        <v>125688</v>
      </c>
      <c r="BI28" s="60">
        <f>BH28+BG28</f>
        <v>131748</v>
      </c>
      <c r="BJ28" s="60"/>
      <c r="BK28" s="162">
        <v>17443026</v>
      </c>
      <c r="BL28" s="60">
        <f t="shared" si="55"/>
        <v>17443026</v>
      </c>
      <c r="BM28" s="60"/>
      <c r="BN28" s="60"/>
      <c r="BO28" s="60">
        <f t="shared" si="56"/>
        <v>0</v>
      </c>
      <c r="BP28" s="60"/>
      <c r="BQ28" s="60"/>
      <c r="BR28" s="60">
        <v>7337380</v>
      </c>
      <c r="BS28" s="60">
        <v>51355</v>
      </c>
      <c r="BT28" s="60">
        <v>130810</v>
      </c>
      <c r="BU28" s="60">
        <f t="shared" si="57"/>
        <v>182165</v>
      </c>
      <c r="BV28" s="60">
        <v>558537</v>
      </c>
      <c r="BW28" s="60">
        <v>3586677</v>
      </c>
      <c r="BX28" s="60">
        <f t="shared" si="58"/>
        <v>4145214</v>
      </c>
      <c r="BY28" s="60"/>
      <c r="BZ28" s="60"/>
      <c r="CA28" s="60">
        <v>913543</v>
      </c>
      <c r="CB28" s="60">
        <v>272209</v>
      </c>
      <c r="CC28" s="60">
        <v>1123871</v>
      </c>
      <c r="CD28" s="60">
        <f t="shared" si="59"/>
        <v>1396080</v>
      </c>
      <c r="CE28" s="60"/>
      <c r="CF28" s="60">
        <v>3294186</v>
      </c>
      <c r="CG28" s="60">
        <f t="shared" si="60"/>
        <v>3294186</v>
      </c>
      <c r="CH28" s="60"/>
      <c r="CI28" s="60"/>
      <c r="CJ28" s="60">
        <f t="shared" si="61"/>
        <v>0</v>
      </c>
      <c r="CK28" s="60">
        <v>1654734</v>
      </c>
      <c r="CL28" s="60">
        <v>2264960</v>
      </c>
      <c r="CM28" s="60">
        <f t="shared" si="62"/>
        <v>3919694</v>
      </c>
      <c r="CN28" s="60"/>
      <c r="CO28" s="60"/>
      <c r="CP28" s="60">
        <f t="shared" si="63"/>
        <v>0</v>
      </c>
      <c r="CQ28" s="60"/>
      <c r="CR28" s="60"/>
      <c r="CS28" s="60">
        <v>6535973</v>
      </c>
      <c r="CT28" s="60">
        <v>4731</v>
      </c>
      <c r="CU28" s="60">
        <v>13149</v>
      </c>
      <c r="CV28" s="60">
        <f t="shared" si="64"/>
        <v>17880</v>
      </c>
    </row>
    <row r="29" spans="1:100" ht="15" customHeight="1" x14ac:dyDescent="0.25">
      <c r="A29" s="61" t="s">
        <v>200</v>
      </c>
      <c r="B29" s="60">
        <v>84928</v>
      </c>
      <c r="C29" s="60">
        <v>114740</v>
      </c>
      <c r="D29" s="60">
        <f t="shared" si="36"/>
        <v>199668</v>
      </c>
      <c r="E29" s="60">
        <v>99178</v>
      </c>
      <c r="F29" s="60">
        <v>299706</v>
      </c>
      <c r="G29" s="60">
        <f t="shared" si="37"/>
        <v>398884</v>
      </c>
      <c r="H29" s="60"/>
      <c r="I29" s="60"/>
      <c r="J29" s="60">
        <v>6976005</v>
      </c>
      <c r="K29" s="60"/>
      <c r="L29" s="60">
        <v>199870</v>
      </c>
      <c r="M29" s="60">
        <f t="shared" si="38"/>
        <v>199870</v>
      </c>
      <c r="N29" s="60">
        <v>516174</v>
      </c>
      <c r="O29" s="60">
        <v>8504540</v>
      </c>
      <c r="P29" s="60">
        <f t="shared" si="39"/>
        <v>9020714</v>
      </c>
      <c r="Q29" s="60">
        <v>381203</v>
      </c>
      <c r="R29" s="60">
        <v>2322364</v>
      </c>
      <c r="S29" s="60">
        <f t="shared" si="40"/>
        <v>2703567</v>
      </c>
      <c r="T29" s="60">
        <v>531468</v>
      </c>
      <c r="U29" s="60">
        <v>6091714</v>
      </c>
      <c r="V29" s="60">
        <f t="shared" si="41"/>
        <v>6623182</v>
      </c>
      <c r="W29" s="60">
        <v>100240</v>
      </c>
      <c r="X29" s="60">
        <v>99498</v>
      </c>
      <c r="Y29" s="60">
        <f t="shared" si="42"/>
        <v>199738</v>
      </c>
      <c r="Z29" s="60">
        <v>49988</v>
      </c>
      <c r="AA29" s="60"/>
      <c r="AB29" s="60">
        <f t="shared" si="43"/>
        <v>49988</v>
      </c>
      <c r="AC29" s="60">
        <f>1698633.8+348534.12</f>
        <v>2047167.92</v>
      </c>
      <c r="AD29" s="60">
        <f>2444375.46+501549.1</f>
        <v>2945924.56</v>
      </c>
      <c r="AE29" s="60">
        <f t="shared" si="44"/>
        <v>4993092.4800000004</v>
      </c>
      <c r="AF29" s="60">
        <v>104299</v>
      </c>
      <c r="AG29" s="60">
        <v>476212</v>
      </c>
      <c r="AH29" s="60">
        <f t="shared" si="45"/>
        <v>580511</v>
      </c>
      <c r="AI29" s="60">
        <v>247991</v>
      </c>
      <c r="AJ29" s="60">
        <v>698495</v>
      </c>
      <c r="AK29" s="60">
        <f t="shared" si="46"/>
        <v>946486</v>
      </c>
      <c r="AL29" s="60">
        <v>375396</v>
      </c>
      <c r="AM29" s="60">
        <v>2588729</v>
      </c>
      <c r="AN29" s="60">
        <f t="shared" si="47"/>
        <v>2964125</v>
      </c>
      <c r="AO29" s="60">
        <v>221364</v>
      </c>
      <c r="AP29" s="60">
        <v>778672</v>
      </c>
      <c r="AQ29" s="60">
        <f t="shared" si="48"/>
        <v>1000036</v>
      </c>
      <c r="AR29" s="10">
        <v>599467</v>
      </c>
      <c r="AS29" s="10">
        <v>2505087</v>
      </c>
      <c r="AT29" s="60">
        <f t="shared" si="49"/>
        <v>3104554</v>
      </c>
      <c r="AU29" s="60">
        <v>23942</v>
      </c>
      <c r="AV29" s="60">
        <v>76058</v>
      </c>
      <c r="AW29" s="60">
        <f t="shared" si="50"/>
        <v>100000</v>
      </c>
      <c r="AX29" s="60">
        <v>692685</v>
      </c>
      <c r="AY29" s="60">
        <v>2308832</v>
      </c>
      <c r="AZ29" s="60">
        <f t="shared" si="51"/>
        <v>3001517</v>
      </c>
      <c r="BA29" s="60">
        <v>75498</v>
      </c>
      <c r="BB29" s="60">
        <v>474005</v>
      </c>
      <c r="BC29" s="60">
        <f t="shared" si="52"/>
        <v>549503</v>
      </c>
      <c r="BD29" s="60">
        <v>150009</v>
      </c>
      <c r="BE29" s="60">
        <v>100254</v>
      </c>
      <c r="BF29" s="60">
        <f t="shared" si="53"/>
        <v>250263</v>
      </c>
      <c r="BG29" s="60"/>
      <c r="BH29" s="60">
        <v>742153</v>
      </c>
      <c r="BI29" s="60">
        <f t="shared" si="54"/>
        <v>742153</v>
      </c>
      <c r="BJ29" s="60"/>
      <c r="BK29" s="162">
        <v>7489695</v>
      </c>
      <c r="BL29" s="60">
        <f t="shared" si="55"/>
        <v>7489695</v>
      </c>
      <c r="BM29" s="60">
        <v>2580109</v>
      </c>
      <c r="BN29" s="60">
        <v>5170620</v>
      </c>
      <c r="BO29" s="60">
        <f t="shared" si="56"/>
        <v>7750729</v>
      </c>
      <c r="BP29" s="60"/>
      <c r="BQ29" s="60"/>
      <c r="BR29" s="60">
        <v>3528733</v>
      </c>
      <c r="BS29" s="60">
        <v>98744</v>
      </c>
      <c r="BT29" s="60">
        <v>251517</v>
      </c>
      <c r="BU29" s="60">
        <f t="shared" si="57"/>
        <v>350261</v>
      </c>
      <c r="BV29" s="60">
        <v>1431378</v>
      </c>
      <c r="BW29" s="60">
        <v>9191679</v>
      </c>
      <c r="BX29" s="60">
        <f t="shared" si="58"/>
        <v>10623057</v>
      </c>
      <c r="BY29" s="60"/>
      <c r="BZ29" s="60"/>
      <c r="CA29" s="60">
        <v>997836</v>
      </c>
      <c r="CB29" s="60">
        <v>792692</v>
      </c>
      <c r="CC29" s="60">
        <v>3272797</v>
      </c>
      <c r="CD29" s="60">
        <f t="shared" si="59"/>
        <v>4065489</v>
      </c>
      <c r="CE29" s="60"/>
      <c r="CF29" s="60">
        <v>1385680</v>
      </c>
      <c r="CG29" s="60">
        <f t="shared" si="60"/>
        <v>1385680</v>
      </c>
      <c r="CH29" s="60"/>
      <c r="CI29" s="60">
        <v>299815</v>
      </c>
      <c r="CJ29" s="60">
        <f t="shared" si="61"/>
        <v>299815</v>
      </c>
      <c r="CK29" s="60"/>
      <c r="CL29" s="60"/>
      <c r="CM29" s="60">
        <f t="shared" si="62"/>
        <v>0</v>
      </c>
      <c r="CN29" s="60">
        <v>38792</v>
      </c>
      <c r="CO29" s="60">
        <v>208117</v>
      </c>
      <c r="CP29" s="60">
        <f t="shared" si="63"/>
        <v>246909</v>
      </c>
      <c r="CQ29" s="60"/>
      <c r="CR29" s="60"/>
      <c r="CS29" s="60">
        <v>3281858</v>
      </c>
      <c r="CT29" s="60">
        <v>530933</v>
      </c>
      <c r="CU29" s="60">
        <v>1475735</v>
      </c>
      <c r="CV29" s="60">
        <f t="shared" si="64"/>
        <v>2006668</v>
      </c>
    </row>
    <row r="30" spans="1:100" ht="15" customHeight="1" x14ac:dyDescent="0.25">
      <c r="A30" s="61" t="s">
        <v>210</v>
      </c>
      <c r="B30" s="60"/>
      <c r="C30" s="60"/>
      <c r="D30" s="60">
        <f t="shared" si="36"/>
        <v>0</v>
      </c>
      <c r="E30" s="60"/>
      <c r="F30" s="60"/>
      <c r="G30" s="60">
        <f t="shared" si="37"/>
        <v>0</v>
      </c>
      <c r="H30" s="60"/>
      <c r="I30" s="60"/>
      <c r="J30" s="60">
        <f t="shared" si="68"/>
        <v>0</v>
      </c>
      <c r="K30" s="60"/>
      <c r="L30" s="60"/>
      <c r="M30" s="60">
        <f t="shared" si="38"/>
        <v>0</v>
      </c>
      <c r="N30" s="60"/>
      <c r="O30" s="60"/>
      <c r="P30" s="60">
        <f t="shared" si="39"/>
        <v>0</v>
      </c>
      <c r="Q30" s="60"/>
      <c r="R30" s="60"/>
      <c r="S30" s="60">
        <f t="shared" si="40"/>
        <v>0</v>
      </c>
      <c r="T30" s="60"/>
      <c r="U30" s="60"/>
      <c r="V30" s="60">
        <f t="shared" si="41"/>
        <v>0</v>
      </c>
      <c r="W30" s="60"/>
      <c r="X30" s="60"/>
      <c r="Y30" s="60">
        <f t="shared" si="42"/>
        <v>0</v>
      </c>
      <c r="Z30" s="60"/>
      <c r="AA30" s="60"/>
      <c r="AB30" s="60">
        <f t="shared" si="43"/>
        <v>0</v>
      </c>
      <c r="AC30" s="60"/>
      <c r="AD30" s="60"/>
      <c r="AE30" s="60">
        <f t="shared" si="44"/>
        <v>0</v>
      </c>
      <c r="AF30" s="60"/>
      <c r="AG30" s="60"/>
      <c r="AH30" s="60">
        <f t="shared" si="45"/>
        <v>0</v>
      </c>
      <c r="AI30" s="60"/>
      <c r="AJ30" s="60"/>
      <c r="AK30" s="60">
        <f t="shared" si="46"/>
        <v>0</v>
      </c>
      <c r="AL30" s="60"/>
      <c r="AM30" s="60"/>
      <c r="AN30" s="60">
        <f t="shared" si="47"/>
        <v>0</v>
      </c>
      <c r="AO30" s="60"/>
      <c r="AP30" s="60"/>
      <c r="AQ30" s="60">
        <f t="shared" si="48"/>
        <v>0</v>
      </c>
      <c r="AR30" s="10">
        <v>453875</v>
      </c>
      <c r="AS30" s="10">
        <v>1896677</v>
      </c>
      <c r="AT30" s="60">
        <f t="shared" si="49"/>
        <v>2350552</v>
      </c>
      <c r="AU30" s="60"/>
      <c r="AV30" s="60"/>
      <c r="AW30" s="60">
        <f t="shared" si="50"/>
        <v>0</v>
      </c>
      <c r="AX30" s="60"/>
      <c r="AY30" s="60"/>
      <c r="AZ30" s="60">
        <f t="shared" si="51"/>
        <v>0</v>
      </c>
      <c r="BA30" s="60"/>
      <c r="BB30" s="60"/>
      <c r="BC30" s="60">
        <f t="shared" si="52"/>
        <v>0</v>
      </c>
      <c r="BD30" s="60"/>
      <c r="BE30" s="60"/>
      <c r="BF30" s="60">
        <f t="shared" si="53"/>
        <v>0</v>
      </c>
      <c r="BG30" s="60"/>
      <c r="BH30" s="60"/>
      <c r="BI30" s="60">
        <f t="shared" si="54"/>
        <v>0</v>
      </c>
      <c r="BJ30" s="60"/>
      <c r="BK30" s="60"/>
      <c r="BL30" s="60">
        <f t="shared" si="55"/>
        <v>0</v>
      </c>
      <c r="BM30" s="60"/>
      <c r="BN30" s="60"/>
      <c r="BO30" s="60">
        <f t="shared" si="56"/>
        <v>0</v>
      </c>
      <c r="BP30" s="60"/>
      <c r="BQ30" s="60"/>
      <c r="BR30" s="60">
        <f t="shared" si="65"/>
        <v>0</v>
      </c>
      <c r="BS30" s="60"/>
      <c r="BT30" s="60"/>
      <c r="BU30" s="60">
        <f t="shared" si="57"/>
        <v>0</v>
      </c>
      <c r="BV30" s="60"/>
      <c r="BW30" s="60"/>
      <c r="BX30" s="60">
        <f t="shared" si="58"/>
        <v>0</v>
      </c>
      <c r="BY30" s="60"/>
      <c r="BZ30" s="60"/>
      <c r="CA30" s="60">
        <f t="shared" si="66"/>
        <v>0</v>
      </c>
      <c r="CB30" s="60"/>
      <c r="CC30" s="60"/>
      <c r="CD30" s="60">
        <f t="shared" si="59"/>
        <v>0</v>
      </c>
      <c r="CE30" s="60"/>
      <c r="CF30" s="60"/>
      <c r="CG30" s="60">
        <f t="shared" si="60"/>
        <v>0</v>
      </c>
      <c r="CH30" s="60"/>
      <c r="CI30" s="60"/>
      <c r="CJ30" s="60">
        <f t="shared" si="61"/>
        <v>0</v>
      </c>
      <c r="CK30" s="60"/>
      <c r="CL30" s="60"/>
      <c r="CM30" s="60">
        <f t="shared" si="62"/>
        <v>0</v>
      </c>
      <c r="CN30" s="60"/>
      <c r="CO30" s="60"/>
      <c r="CP30" s="60">
        <f t="shared" si="63"/>
        <v>0</v>
      </c>
      <c r="CQ30" s="60"/>
      <c r="CR30" s="60"/>
      <c r="CS30" s="60">
        <f t="shared" si="67"/>
        <v>0</v>
      </c>
      <c r="CT30" s="60"/>
      <c r="CU30" s="60"/>
      <c r="CV30" s="60">
        <f t="shared" si="64"/>
        <v>0</v>
      </c>
    </row>
    <row r="31" spans="1:100" ht="15" customHeight="1" x14ac:dyDescent="0.25">
      <c r="A31" s="61" t="s">
        <v>211</v>
      </c>
      <c r="B31" s="60">
        <v>21267</v>
      </c>
      <c r="C31" s="60">
        <v>28733</v>
      </c>
      <c r="D31" s="60">
        <f t="shared" si="36"/>
        <v>50000</v>
      </c>
      <c r="E31" s="60"/>
      <c r="F31" s="60"/>
      <c r="G31" s="60">
        <f t="shared" si="37"/>
        <v>0</v>
      </c>
      <c r="H31" s="60"/>
      <c r="I31" s="60"/>
      <c r="J31" s="60">
        <v>10541250</v>
      </c>
      <c r="K31" s="60"/>
      <c r="L31" s="60"/>
      <c r="M31" s="60">
        <f t="shared" si="38"/>
        <v>0</v>
      </c>
      <c r="N31" s="60"/>
      <c r="O31" s="60">
        <v>250000</v>
      </c>
      <c r="P31" s="60">
        <f t="shared" si="39"/>
        <v>250000</v>
      </c>
      <c r="Q31" s="60"/>
      <c r="R31" s="60"/>
      <c r="S31" s="60">
        <f t="shared" si="40"/>
        <v>0</v>
      </c>
      <c r="T31" s="60"/>
      <c r="U31" s="60"/>
      <c r="V31" s="60">
        <f t="shared" si="41"/>
        <v>0</v>
      </c>
      <c r="W31" s="60"/>
      <c r="X31" s="60"/>
      <c r="Y31" s="60">
        <f t="shared" si="42"/>
        <v>0</v>
      </c>
      <c r="Z31" s="60"/>
      <c r="AA31" s="60"/>
      <c r="AB31" s="60">
        <f t="shared" si="43"/>
        <v>0</v>
      </c>
      <c r="AC31" s="60"/>
      <c r="AD31" s="60"/>
      <c r="AE31" s="60">
        <f t="shared" si="44"/>
        <v>0</v>
      </c>
      <c r="AF31" s="60">
        <v>143643</v>
      </c>
      <c r="AG31" s="60">
        <v>655852</v>
      </c>
      <c r="AH31" s="60">
        <f t="shared" si="45"/>
        <v>799495</v>
      </c>
      <c r="AI31" s="60"/>
      <c r="AJ31" s="60"/>
      <c r="AK31" s="60">
        <f t="shared" si="46"/>
        <v>0</v>
      </c>
      <c r="AL31" s="60">
        <v>196076</v>
      </c>
      <c r="AM31" s="60">
        <v>1352144</v>
      </c>
      <c r="AN31" s="60">
        <f t="shared" si="47"/>
        <v>1548220</v>
      </c>
      <c r="AO31" s="60"/>
      <c r="AP31" s="60"/>
      <c r="AQ31" s="60">
        <f t="shared" si="48"/>
        <v>0</v>
      </c>
      <c r="AR31" s="10">
        <v>144080</v>
      </c>
      <c r="AS31" s="10">
        <v>602091</v>
      </c>
      <c r="AT31" s="60">
        <f t="shared" si="49"/>
        <v>746171</v>
      </c>
      <c r="AU31" s="60"/>
      <c r="AV31" s="60"/>
      <c r="AW31" s="60">
        <f t="shared" si="50"/>
        <v>0</v>
      </c>
      <c r="AX31" s="60"/>
      <c r="AY31" s="60"/>
      <c r="AZ31" s="60">
        <f t="shared" si="51"/>
        <v>0</v>
      </c>
      <c r="BA31" s="60">
        <v>121471</v>
      </c>
      <c r="BB31" s="60">
        <v>762635</v>
      </c>
      <c r="BC31" s="60">
        <f t="shared" si="52"/>
        <v>884106</v>
      </c>
      <c r="BD31" s="60"/>
      <c r="BE31" s="60"/>
      <c r="BF31" s="60">
        <f t="shared" si="53"/>
        <v>0</v>
      </c>
      <c r="BG31" s="60">
        <v>644033</v>
      </c>
      <c r="BH31" s="60">
        <v>517667</v>
      </c>
      <c r="BI31" s="60">
        <f t="shared" si="54"/>
        <v>1161700</v>
      </c>
      <c r="BJ31" s="60"/>
      <c r="BK31" s="162">
        <v>16353870</v>
      </c>
      <c r="BL31" s="60">
        <f t="shared" si="55"/>
        <v>16353870</v>
      </c>
      <c r="BM31" s="60"/>
      <c r="BN31" s="60"/>
      <c r="BO31" s="60">
        <f t="shared" si="56"/>
        <v>0</v>
      </c>
      <c r="BP31" s="60"/>
      <c r="BQ31" s="60"/>
      <c r="BR31" s="60">
        <f t="shared" si="65"/>
        <v>0</v>
      </c>
      <c r="BS31" s="60"/>
      <c r="BT31" s="60"/>
      <c r="BU31" s="60">
        <f t="shared" si="57"/>
        <v>0</v>
      </c>
      <c r="BV31" s="60">
        <v>286323</v>
      </c>
      <c r="BW31" s="60">
        <v>1838642</v>
      </c>
      <c r="BX31" s="60">
        <f t="shared" si="58"/>
        <v>2124965</v>
      </c>
      <c r="BY31" s="60"/>
      <c r="BZ31" s="60"/>
      <c r="CA31" s="60">
        <f t="shared" si="66"/>
        <v>0</v>
      </c>
      <c r="CB31" s="60">
        <v>194954</v>
      </c>
      <c r="CC31" s="60">
        <v>804911</v>
      </c>
      <c r="CD31" s="60">
        <f t="shared" si="59"/>
        <v>999865</v>
      </c>
      <c r="CE31" s="60"/>
      <c r="CF31" s="60">
        <v>520168</v>
      </c>
      <c r="CG31" s="60">
        <f t="shared" si="60"/>
        <v>520168</v>
      </c>
      <c r="CH31" s="60"/>
      <c r="CI31" s="60"/>
      <c r="CJ31" s="60">
        <f t="shared" si="61"/>
        <v>0</v>
      </c>
      <c r="CK31" s="60"/>
      <c r="CL31" s="60"/>
      <c r="CM31" s="60">
        <f t="shared" si="62"/>
        <v>0</v>
      </c>
      <c r="CN31" s="60">
        <v>157110</v>
      </c>
      <c r="CO31" s="60">
        <v>842890</v>
      </c>
      <c r="CP31" s="60">
        <f t="shared" si="63"/>
        <v>1000000</v>
      </c>
      <c r="CQ31" s="60"/>
      <c r="CR31" s="60"/>
      <c r="CS31" s="60">
        <f t="shared" si="67"/>
        <v>0</v>
      </c>
      <c r="CT31" s="60">
        <v>182563</v>
      </c>
      <c r="CU31" s="60">
        <v>507437</v>
      </c>
      <c r="CV31" s="60">
        <f t="shared" si="64"/>
        <v>690000</v>
      </c>
    </row>
    <row r="32" spans="1:100" ht="15" customHeight="1" x14ac:dyDescent="0.25">
      <c r="A32" s="61" t="s">
        <v>212</v>
      </c>
      <c r="B32" s="60"/>
      <c r="C32" s="60"/>
      <c r="D32" s="60">
        <f t="shared" si="36"/>
        <v>0</v>
      </c>
      <c r="E32" s="60"/>
      <c r="F32" s="60">
        <v>82500</v>
      </c>
      <c r="G32" s="60">
        <f t="shared" si="37"/>
        <v>82500</v>
      </c>
      <c r="H32" s="60"/>
      <c r="I32" s="60"/>
      <c r="J32" s="60">
        <f t="shared" si="68"/>
        <v>0</v>
      </c>
      <c r="K32" s="60"/>
      <c r="L32" s="60"/>
      <c r="M32" s="60">
        <f t="shared" si="38"/>
        <v>0</v>
      </c>
      <c r="N32" s="60"/>
      <c r="O32" s="60"/>
      <c r="P32" s="60">
        <f t="shared" si="39"/>
        <v>0</v>
      </c>
      <c r="Q32" s="60"/>
      <c r="R32" s="60"/>
      <c r="S32" s="60">
        <f t="shared" si="40"/>
        <v>0</v>
      </c>
      <c r="T32" s="60">
        <v>174506</v>
      </c>
      <c r="U32" s="60">
        <v>2000194</v>
      </c>
      <c r="V32" s="60">
        <f t="shared" si="41"/>
        <v>2174700</v>
      </c>
      <c r="W32" s="60">
        <v>247500</v>
      </c>
      <c r="X32" s="60">
        <v>130000</v>
      </c>
      <c r="Y32" s="60">
        <f t="shared" si="42"/>
        <v>377500</v>
      </c>
      <c r="Z32" s="60"/>
      <c r="AA32" s="60"/>
      <c r="AB32" s="60">
        <f t="shared" si="43"/>
        <v>0</v>
      </c>
      <c r="AC32" s="60"/>
      <c r="AD32" s="60"/>
      <c r="AE32" s="60">
        <f t="shared" si="44"/>
        <v>0</v>
      </c>
      <c r="AF32" s="60"/>
      <c r="AG32" s="60"/>
      <c r="AH32" s="60">
        <f t="shared" si="45"/>
        <v>0</v>
      </c>
      <c r="AI32" s="60"/>
      <c r="AJ32" s="60"/>
      <c r="AK32" s="60">
        <f t="shared" si="46"/>
        <v>0</v>
      </c>
      <c r="AL32" s="60"/>
      <c r="AM32" s="60"/>
      <c r="AN32" s="60">
        <f t="shared" si="47"/>
        <v>0</v>
      </c>
      <c r="AO32" s="60"/>
      <c r="AP32" s="60"/>
      <c r="AQ32" s="60">
        <f t="shared" si="48"/>
        <v>0</v>
      </c>
      <c r="AR32" s="60"/>
      <c r="AS32" s="60"/>
      <c r="AT32" s="60">
        <f t="shared" si="49"/>
        <v>0</v>
      </c>
      <c r="AU32" s="60"/>
      <c r="AV32" s="60"/>
      <c r="AW32" s="60">
        <f t="shared" si="50"/>
        <v>0</v>
      </c>
      <c r="AX32" s="60"/>
      <c r="AY32" s="60"/>
      <c r="AZ32" s="60">
        <f t="shared" si="51"/>
        <v>0</v>
      </c>
      <c r="BA32" s="60"/>
      <c r="BB32" s="60"/>
      <c r="BC32" s="60">
        <f t="shared" si="52"/>
        <v>0</v>
      </c>
      <c r="BD32" s="60"/>
      <c r="BE32" s="60"/>
      <c r="BF32" s="60">
        <f t="shared" si="53"/>
        <v>0</v>
      </c>
      <c r="BG32" s="60"/>
      <c r="BH32" s="60"/>
      <c r="BI32" s="60">
        <f>BH32+BG32</f>
        <v>0</v>
      </c>
      <c r="BJ32" s="60"/>
      <c r="BK32" s="60"/>
      <c r="BL32" s="60">
        <f t="shared" si="55"/>
        <v>0</v>
      </c>
      <c r="BM32" s="60"/>
      <c r="BN32" s="60"/>
      <c r="BO32" s="60">
        <f t="shared" si="56"/>
        <v>0</v>
      </c>
      <c r="BP32" s="60"/>
      <c r="BQ32" s="60"/>
      <c r="BR32" s="60">
        <f t="shared" si="65"/>
        <v>0</v>
      </c>
      <c r="BS32" s="60">
        <v>58220</v>
      </c>
      <c r="BT32" s="60">
        <v>148295</v>
      </c>
      <c r="BU32" s="60">
        <f t="shared" si="57"/>
        <v>206515</v>
      </c>
      <c r="BV32" s="60"/>
      <c r="BW32" s="60"/>
      <c r="BX32" s="60">
        <f t="shared" si="58"/>
        <v>0</v>
      </c>
      <c r="BY32" s="60"/>
      <c r="BZ32" s="60"/>
      <c r="CA32" s="60">
        <v>65000</v>
      </c>
      <c r="CB32" s="60"/>
      <c r="CC32" s="60"/>
      <c r="CD32" s="60">
        <f t="shared" si="59"/>
        <v>0</v>
      </c>
      <c r="CE32" s="60"/>
      <c r="CF32" s="60"/>
      <c r="CG32" s="60">
        <f t="shared" si="60"/>
        <v>0</v>
      </c>
      <c r="CH32" s="60"/>
      <c r="CI32" s="60"/>
      <c r="CJ32" s="60">
        <f t="shared" si="61"/>
        <v>0</v>
      </c>
      <c r="CK32" s="60"/>
      <c r="CL32" s="60"/>
      <c r="CM32" s="60">
        <f t="shared" si="62"/>
        <v>0</v>
      </c>
      <c r="CN32" s="60"/>
      <c r="CO32" s="60"/>
      <c r="CP32" s="60">
        <f t="shared" si="63"/>
        <v>0</v>
      </c>
      <c r="CQ32" s="60"/>
      <c r="CR32" s="60"/>
      <c r="CS32" s="60">
        <f t="shared" si="67"/>
        <v>0</v>
      </c>
      <c r="CT32" s="60"/>
      <c r="CU32" s="60"/>
      <c r="CV32" s="60">
        <f t="shared" si="64"/>
        <v>0</v>
      </c>
    </row>
    <row r="33" spans="1:100" ht="15" customHeight="1" x14ac:dyDescent="0.25">
      <c r="A33" s="61" t="s">
        <v>213</v>
      </c>
      <c r="B33" s="60"/>
      <c r="C33" s="60"/>
      <c r="D33" s="60">
        <f t="shared" si="36"/>
        <v>0</v>
      </c>
      <c r="E33" s="60"/>
      <c r="F33" s="60"/>
      <c r="G33" s="60">
        <f t="shared" si="37"/>
        <v>0</v>
      </c>
      <c r="H33" s="60"/>
      <c r="I33" s="60"/>
      <c r="J33" s="60">
        <f t="shared" si="68"/>
        <v>0</v>
      </c>
      <c r="K33" s="60"/>
      <c r="L33" s="60"/>
      <c r="M33" s="60">
        <f t="shared" si="38"/>
        <v>0</v>
      </c>
      <c r="N33" s="60"/>
      <c r="O33" s="60"/>
      <c r="P33" s="60">
        <f t="shared" si="39"/>
        <v>0</v>
      </c>
      <c r="Q33" s="60"/>
      <c r="R33" s="60"/>
      <c r="S33" s="60">
        <f t="shared" si="40"/>
        <v>0</v>
      </c>
      <c r="T33" s="60"/>
      <c r="U33" s="60"/>
      <c r="V33" s="60">
        <f t="shared" si="41"/>
        <v>0</v>
      </c>
      <c r="W33" s="60"/>
      <c r="X33" s="60"/>
      <c r="Y33" s="60">
        <f t="shared" si="42"/>
        <v>0</v>
      </c>
      <c r="Z33" s="60"/>
      <c r="AA33" s="60"/>
      <c r="AB33" s="60">
        <f t="shared" si="43"/>
        <v>0</v>
      </c>
      <c r="AC33" s="60"/>
      <c r="AD33" s="60"/>
      <c r="AE33" s="60">
        <f t="shared" si="44"/>
        <v>0</v>
      </c>
      <c r="AF33" s="60"/>
      <c r="AG33" s="60"/>
      <c r="AH33" s="60">
        <f t="shared" si="45"/>
        <v>0</v>
      </c>
      <c r="AI33" s="60"/>
      <c r="AJ33" s="60"/>
      <c r="AK33" s="60">
        <f t="shared" si="46"/>
        <v>0</v>
      </c>
      <c r="AL33" s="60"/>
      <c r="AM33" s="60"/>
      <c r="AN33" s="60">
        <f t="shared" si="47"/>
        <v>0</v>
      </c>
      <c r="AO33" s="60"/>
      <c r="AP33" s="60"/>
      <c r="AQ33" s="60">
        <f t="shared" si="48"/>
        <v>0</v>
      </c>
      <c r="AR33" s="60"/>
      <c r="AS33" s="60"/>
      <c r="AT33" s="60">
        <f t="shared" si="49"/>
        <v>0</v>
      </c>
      <c r="AU33" s="60"/>
      <c r="AV33" s="60"/>
      <c r="AW33" s="60">
        <f t="shared" si="50"/>
        <v>0</v>
      </c>
      <c r="AX33" s="60"/>
      <c r="AY33" s="60"/>
      <c r="AZ33" s="60">
        <f t="shared" si="51"/>
        <v>0</v>
      </c>
      <c r="BA33" s="60"/>
      <c r="BB33" s="60"/>
      <c r="BC33" s="60">
        <f t="shared" si="52"/>
        <v>0</v>
      </c>
      <c r="BD33" s="60"/>
      <c r="BE33" s="60"/>
      <c r="BF33" s="60">
        <f t="shared" si="53"/>
        <v>0</v>
      </c>
      <c r="BG33" s="60"/>
      <c r="BH33" s="60"/>
      <c r="BI33" s="60">
        <f t="shared" si="54"/>
        <v>0</v>
      </c>
      <c r="BJ33" s="60"/>
      <c r="BK33" s="60"/>
      <c r="BL33" s="60">
        <f t="shared" si="55"/>
        <v>0</v>
      </c>
      <c r="BM33" s="60"/>
      <c r="BN33" s="60"/>
      <c r="BO33" s="60">
        <f t="shared" si="56"/>
        <v>0</v>
      </c>
      <c r="BP33" s="60"/>
      <c r="BQ33" s="60"/>
      <c r="BR33" s="60">
        <f t="shared" si="65"/>
        <v>0</v>
      </c>
      <c r="BS33" s="60"/>
      <c r="BT33" s="60"/>
      <c r="BU33" s="60">
        <f t="shared" si="57"/>
        <v>0</v>
      </c>
      <c r="BV33" s="60"/>
      <c r="BW33" s="60"/>
      <c r="BX33" s="60">
        <f t="shared" si="58"/>
        <v>0</v>
      </c>
      <c r="BY33" s="60"/>
      <c r="BZ33" s="60"/>
      <c r="CA33" s="60">
        <f t="shared" si="66"/>
        <v>0</v>
      </c>
      <c r="CB33" s="60"/>
      <c r="CC33" s="60"/>
      <c r="CD33" s="60">
        <f t="shared" si="59"/>
        <v>0</v>
      </c>
      <c r="CE33" s="60"/>
      <c r="CF33" s="60"/>
      <c r="CG33" s="60">
        <f t="shared" si="60"/>
        <v>0</v>
      </c>
      <c r="CH33" s="60"/>
      <c r="CI33" s="60"/>
      <c r="CJ33" s="60">
        <f t="shared" si="61"/>
        <v>0</v>
      </c>
      <c r="CK33" s="60"/>
      <c r="CL33" s="60"/>
      <c r="CM33" s="60">
        <f t="shared" si="62"/>
        <v>0</v>
      </c>
      <c r="CN33" s="60"/>
      <c r="CO33" s="60"/>
      <c r="CP33" s="60">
        <f t="shared" si="63"/>
        <v>0</v>
      </c>
      <c r="CQ33" s="60"/>
      <c r="CR33" s="60"/>
      <c r="CS33" s="60">
        <f t="shared" si="67"/>
        <v>0</v>
      </c>
      <c r="CT33" s="60"/>
      <c r="CU33" s="60"/>
      <c r="CV33" s="60">
        <f t="shared" si="64"/>
        <v>0</v>
      </c>
    </row>
    <row r="34" spans="1:100" ht="15" customHeight="1" x14ac:dyDescent="0.25">
      <c r="A34" s="61" t="s">
        <v>205</v>
      </c>
      <c r="B34" s="60">
        <f>21303+21267-10634</f>
        <v>31936</v>
      </c>
      <c r="C34" s="60">
        <f>28781+28733-14366</f>
        <v>43148</v>
      </c>
      <c r="D34" s="60">
        <f t="shared" si="36"/>
        <v>75084</v>
      </c>
      <c r="E34" s="60"/>
      <c r="F34" s="60">
        <f>249588+150091</f>
        <v>399679</v>
      </c>
      <c r="G34" s="60">
        <f t="shared" si="37"/>
        <v>399679</v>
      </c>
      <c r="H34" s="60"/>
      <c r="I34" s="60"/>
      <c r="J34" s="60">
        <v>2157730</v>
      </c>
      <c r="K34" s="60"/>
      <c r="L34" s="60">
        <v>925403</v>
      </c>
      <c r="M34" s="60">
        <f t="shared" si="38"/>
        <v>925403</v>
      </c>
      <c r="N34" s="60">
        <v>2636015</v>
      </c>
      <c r="O34" s="60">
        <v>12995161</v>
      </c>
      <c r="P34" s="60">
        <f t="shared" si="39"/>
        <v>15631176</v>
      </c>
      <c r="Q34" s="60">
        <v>387613</v>
      </c>
      <c r="R34" s="60">
        <v>2361413</v>
      </c>
      <c r="S34" s="60">
        <f t="shared" si="40"/>
        <v>2749026</v>
      </c>
      <c r="T34" s="60">
        <v>138075</v>
      </c>
      <c r="U34" s="60">
        <v>1582623</v>
      </c>
      <c r="V34" s="60">
        <f t="shared" si="41"/>
        <v>1720698</v>
      </c>
      <c r="W34" s="60">
        <v>100527</v>
      </c>
      <c r="X34" s="60"/>
      <c r="Y34" s="60">
        <f t="shared" si="42"/>
        <v>100527</v>
      </c>
      <c r="Z34" s="60">
        <v>102173</v>
      </c>
      <c r="AA34" s="60"/>
      <c r="AB34" s="60">
        <f t="shared" si="43"/>
        <v>102173</v>
      </c>
      <c r="AC34" s="60">
        <v>373254.14</v>
      </c>
      <c r="AD34" s="60">
        <v>537121.81999999995</v>
      </c>
      <c r="AE34" s="60">
        <f t="shared" si="44"/>
        <v>910375.96</v>
      </c>
      <c r="AF34" s="60">
        <v>127526</v>
      </c>
      <c r="AG34" s="60">
        <v>582265</v>
      </c>
      <c r="AH34" s="60">
        <f t="shared" si="45"/>
        <v>709791</v>
      </c>
      <c r="AI34" s="60">
        <v>150106</v>
      </c>
      <c r="AJ34" s="60">
        <v>1554451</v>
      </c>
      <c r="AK34" s="60">
        <f t="shared" si="46"/>
        <v>1704557</v>
      </c>
      <c r="AL34" s="60">
        <v>547562</v>
      </c>
      <c r="AM34" s="60">
        <v>3775989</v>
      </c>
      <c r="AN34" s="60">
        <f t="shared" si="47"/>
        <v>4323551</v>
      </c>
      <c r="AO34" s="60">
        <v>553390</v>
      </c>
      <c r="AP34" s="60">
        <v>1946610</v>
      </c>
      <c r="AQ34" s="60">
        <f t="shared" si="48"/>
        <v>2500000</v>
      </c>
      <c r="AR34" s="10">
        <v>128024</v>
      </c>
      <c r="AS34" s="10">
        <v>534993</v>
      </c>
      <c r="AT34" s="60">
        <f t="shared" si="49"/>
        <v>663017</v>
      </c>
      <c r="AU34" s="60"/>
      <c r="AV34" s="60"/>
      <c r="AW34" s="60">
        <f t="shared" si="50"/>
        <v>0</v>
      </c>
      <c r="AX34" s="60">
        <v>208120</v>
      </c>
      <c r="AY34" s="60">
        <v>693700</v>
      </c>
      <c r="AZ34" s="60">
        <f t="shared" si="51"/>
        <v>901820</v>
      </c>
      <c r="BA34" s="60"/>
      <c r="BB34" s="60"/>
      <c r="BC34" s="60">
        <f t="shared" si="52"/>
        <v>0</v>
      </c>
      <c r="BD34" s="60">
        <v>251541</v>
      </c>
      <c r="BE34" s="60">
        <v>250352</v>
      </c>
      <c r="BF34" s="60">
        <f t="shared" si="53"/>
        <v>501893</v>
      </c>
      <c r="BG34" s="60">
        <v>49943</v>
      </c>
      <c r="BH34" s="60">
        <v>249934</v>
      </c>
      <c r="BI34" s="60">
        <f t="shared" si="54"/>
        <v>299877</v>
      </c>
      <c r="BJ34" s="60"/>
      <c r="BK34" s="162">
        <v>3067114</v>
      </c>
      <c r="BL34" s="60">
        <f t="shared" si="55"/>
        <v>3067114</v>
      </c>
      <c r="BM34" s="60">
        <v>5051537</v>
      </c>
      <c r="BN34" s="60">
        <v>10123438</v>
      </c>
      <c r="BO34" s="60">
        <f t="shared" si="56"/>
        <v>15174975</v>
      </c>
      <c r="BP34" s="60"/>
      <c r="BQ34" s="60"/>
      <c r="BR34" s="60">
        <v>6806819</v>
      </c>
      <c r="BS34" s="60">
        <v>42481</v>
      </c>
      <c r="BT34" s="60">
        <v>108205</v>
      </c>
      <c r="BU34" s="60">
        <f t="shared" si="57"/>
        <v>150686</v>
      </c>
      <c r="BV34" s="60">
        <v>163780</v>
      </c>
      <c r="BW34" s="60">
        <v>1051724</v>
      </c>
      <c r="BX34" s="60">
        <f t="shared" si="58"/>
        <v>1215504</v>
      </c>
      <c r="BY34" s="60"/>
      <c r="BZ34" s="60"/>
      <c r="CA34" s="60">
        <v>1050497</v>
      </c>
      <c r="CB34" s="60">
        <v>340738</v>
      </c>
      <c r="CC34" s="60">
        <v>1406812</v>
      </c>
      <c r="CD34" s="60">
        <f t="shared" si="59"/>
        <v>1747550</v>
      </c>
      <c r="CE34" s="60">
        <v>150000</v>
      </c>
      <c r="CF34" s="60">
        <v>2709462</v>
      </c>
      <c r="CG34" s="60">
        <f t="shared" si="60"/>
        <v>2859462</v>
      </c>
      <c r="CH34" s="60"/>
      <c r="CI34" s="60">
        <v>9913237</v>
      </c>
      <c r="CJ34" s="60">
        <f t="shared" si="61"/>
        <v>9913237</v>
      </c>
      <c r="CK34" s="60">
        <v>162561</v>
      </c>
      <c r="CL34" s="60">
        <v>222510</v>
      </c>
      <c r="CM34" s="60">
        <f t="shared" si="62"/>
        <v>385071</v>
      </c>
      <c r="CN34" s="60">
        <v>317616</v>
      </c>
      <c r="CO34" s="60">
        <v>1703996</v>
      </c>
      <c r="CP34" s="60">
        <f t="shared" si="63"/>
        <v>2021612</v>
      </c>
      <c r="CQ34" s="60"/>
      <c r="CR34" s="60"/>
      <c r="CS34" s="60">
        <v>9311611</v>
      </c>
      <c r="CT34" s="60">
        <v>708641</v>
      </c>
      <c r="CU34" s="60">
        <v>1969679</v>
      </c>
      <c r="CV34" s="60">
        <f t="shared" si="64"/>
        <v>2678320</v>
      </c>
    </row>
    <row r="35" spans="1:100" x14ac:dyDescent="0.25">
      <c r="A35" s="61" t="s">
        <v>206</v>
      </c>
      <c r="B35" s="60"/>
      <c r="C35" s="60"/>
      <c r="D35" s="60">
        <f t="shared" si="36"/>
        <v>0</v>
      </c>
      <c r="E35" s="60"/>
      <c r="F35" s="60"/>
      <c r="G35" s="60">
        <f t="shared" si="37"/>
        <v>0</v>
      </c>
      <c r="H35" s="60"/>
      <c r="I35" s="60"/>
      <c r="J35" s="60">
        <v>100000</v>
      </c>
      <c r="K35" s="60"/>
      <c r="L35" s="60">
        <v>184983</v>
      </c>
      <c r="M35" s="60">
        <f t="shared" si="38"/>
        <v>184983</v>
      </c>
      <c r="N35" s="60"/>
      <c r="O35" s="60"/>
      <c r="P35" s="60">
        <f t="shared" si="39"/>
        <v>0</v>
      </c>
      <c r="Q35" s="60">
        <f>-33135+98700</f>
        <v>65565</v>
      </c>
      <c r="R35" s="60">
        <f>-201865+601300</f>
        <v>399435</v>
      </c>
      <c r="S35" s="60">
        <f t="shared" si="40"/>
        <v>465000</v>
      </c>
      <c r="T35" s="60">
        <v>2915</v>
      </c>
      <c r="U35" s="60">
        <v>33417</v>
      </c>
      <c r="V35" s="60">
        <f t="shared" si="41"/>
        <v>36332</v>
      </c>
      <c r="W35" s="60"/>
      <c r="X35" s="60"/>
      <c r="Y35" s="60">
        <f t="shared" si="42"/>
        <v>0</v>
      </c>
      <c r="Z35" s="60">
        <v>22059</v>
      </c>
      <c r="AA35" s="60">
        <v>2946</v>
      </c>
      <c r="AB35" s="60">
        <f t="shared" si="43"/>
        <v>25005</v>
      </c>
      <c r="AC35" s="60">
        <v>306953.87</v>
      </c>
      <c r="AD35" s="60">
        <v>441714.1</v>
      </c>
      <c r="AE35" s="60">
        <f t="shared" si="44"/>
        <v>748667.97</v>
      </c>
      <c r="AF35" s="60">
        <f>44917-35933</f>
        <v>8984</v>
      </c>
      <c r="AG35" s="60">
        <v>205083</v>
      </c>
      <c r="AH35" s="60">
        <f t="shared" si="45"/>
        <v>214067</v>
      </c>
      <c r="AI35" s="60"/>
      <c r="AJ35" s="60"/>
      <c r="AK35" s="60">
        <f t="shared" si="46"/>
        <v>0</v>
      </c>
      <c r="AL35" s="60">
        <v>9498</v>
      </c>
      <c r="AM35" s="60">
        <v>65501</v>
      </c>
      <c r="AN35" s="60">
        <f t="shared" si="47"/>
        <v>74999</v>
      </c>
      <c r="AO35" s="60"/>
      <c r="AP35" s="60"/>
      <c r="AQ35" s="60">
        <f t="shared" si="48"/>
        <v>0</v>
      </c>
      <c r="AR35" s="60">
        <f>222081-79168</f>
        <v>142913</v>
      </c>
      <c r="AS35" s="60">
        <f>-330832+928043</f>
        <v>597211</v>
      </c>
      <c r="AT35" s="60">
        <f t="shared" si="49"/>
        <v>740124</v>
      </c>
      <c r="AU35" s="60"/>
      <c r="AV35" s="60"/>
      <c r="AW35" s="60">
        <f t="shared" si="50"/>
        <v>0</v>
      </c>
      <c r="AX35" s="60"/>
      <c r="AY35" s="60"/>
      <c r="AZ35" s="60">
        <f t="shared" si="51"/>
        <v>0</v>
      </c>
      <c r="BA35" s="60">
        <v>6870</v>
      </c>
      <c r="BB35" s="60">
        <v>43130</v>
      </c>
      <c r="BC35" s="60">
        <f t="shared" si="52"/>
        <v>50000</v>
      </c>
      <c r="BD35" s="60">
        <v>108571</v>
      </c>
      <c r="BE35" s="60">
        <f>205819-36625</f>
        <v>169194</v>
      </c>
      <c r="BF35" s="60">
        <f t="shared" si="53"/>
        <v>277765</v>
      </c>
      <c r="BG35" s="60"/>
      <c r="BH35" s="60">
        <v>100000</v>
      </c>
      <c r="BI35" s="60">
        <f t="shared" si="54"/>
        <v>100000</v>
      </c>
      <c r="BJ35" s="60"/>
      <c r="BK35" s="60"/>
      <c r="BL35" s="60">
        <f t="shared" si="55"/>
        <v>0</v>
      </c>
      <c r="BM35" s="60">
        <v>152087</v>
      </c>
      <c r="BN35" s="60">
        <v>304789</v>
      </c>
      <c r="BO35" s="60">
        <f t="shared" si="56"/>
        <v>456876</v>
      </c>
      <c r="BP35" s="60"/>
      <c r="BQ35" s="60"/>
      <c r="BR35" s="60">
        <f t="shared" si="65"/>
        <v>0</v>
      </c>
      <c r="BS35" s="60"/>
      <c r="BT35" s="60"/>
      <c r="BU35" s="60">
        <f t="shared" si="57"/>
        <v>0</v>
      </c>
      <c r="BV35" s="60">
        <f>161761-38057</f>
        <v>123704</v>
      </c>
      <c r="BW35" s="60">
        <f>1038796-244385</f>
        <v>794411</v>
      </c>
      <c r="BX35" s="60">
        <f t="shared" si="58"/>
        <v>918115</v>
      </c>
      <c r="BY35" s="60"/>
      <c r="BZ35" s="60"/>
      <c r="CA35" s="60">
        <v>0</v>
      </c>
      <c r="CB35" s="60">
        <v>51944</v>
      </c>
      <c r="CC35" s="60">
        <v>214463</v>
      </c>
      <c r="CD35" s="60">
        <f t="shared" si="59"/>
        <v>266407</v>
      </c>
      <c r="CE35" s="60"/>
      <c r="CF35" s="60"/>
      <c r="CG35" s="60">
        <f t="shared" si="60"/>
        <v>0</v>
      </c>
      <c r="CH35" s="60"/>
      <c r="CI35" s="60"/>
      <c r="CJ35" s="60">
        <f t="shared" si="61"/>
        <v>0</v>
      </c>
      <c r="CK35" s="60"/>
      <c r="CL35" s="60"/>
      <c r="CM35" s="60">
        <f t="shared" si="62"/>
        <v>0</v>
      </c>
      <c r="CN35" s="60">
        <v>542722</v>
      </c>
      <c r="CO35" s="60">
        <v>2911676</v>
      </c>
      <c r="CP35" s="60">
        <f t="shared" si="63"/>
        <v>3454398</v>
      </c>
      <c r="CQ35" s="60"/>
      <c r="CR35" s="60"/>
      <c r="CS35" s="60">
        <v>875497</v>
      </c>
      <c r="CT35" s="60">
        <v>31751</v>
      </c>
      <c r="CU35" s="60">
        <v>88251</v>
      </c>
      <c r="CV35" s="60">
        <f t="shared" si="64"/>
        <v>120002</v>
      </c>
    </row>
    <row r="36" spans="1:100" s="63" customFormat="1" x14ac:dyDescent="0.25">
      <c r="A36" s="59" t="s">
        <v>209</v>
      </c>
      <c r="B36" s="62">
        <f>SUM(B22:B35)</f>
        <v>357754</v>
      </c>
      <c r="C36" s="62">
        <f t="shared" ref="C36:BN36" si="69">SUM(C22:C35)</f>
        <v>483337</v>
      </c>
      <c r="D36" s="62">
        <f t="shared" si="69"/>
        <v>841091</v>
      </c>
      <c r="E36" s="62">
        <f t="shared" si="69"/>
        <v>201024</v>
      </c>
      <c r="F36" s="62">
        <f t="shared" si="69"/>
        <v>1352220</v>
      </c>
      <c r="G36" s="62">
        <f t="shared" si="69"/>
        <v>1553244</v>
      </c>
      <c r="H36" s="62">
        <f t="shared" si="69"/>
        <v>0</v>
      </c>
      <c r="I36" s="62">
        <f t="shared" si="69"/>
        <v>0</v>
      </c>
      <c r="J36" s="62">
        <f t="shared" si="69"/>
        <v>31179837</v>
      </c>
      <c r="K36" s="62">
        <f t="shared" si="69"/>
        <v>0</v>
      </c>
      <c r="L36" s="62">
        <f t="shared" si="69"/>
        <v>3385051</v>
      </c>
      <c r="M36" s="62">
        <f t="shared" si="69"/>
        <v>3385051</v>
      </c>
      <c r="N36" s="62">
        <f t="shared" si="69"/>
        <v>3152189</v>
      </c>
      <c r="O36" s="62">
        <f t="shared" si="69"/>
        <v>26797187</v>
      </c>
      <c r="P36" s="62">
        <f t="shared" si="69"/>
        <v>29949376</v>
      </c>
      <c r="Q36" s="62">
        <f t="shared" si="69"/>
        <v>920700</v>
      </c>
      <c r="R36" s="62">
        <f t="shared" si="69"/>
        <v>5609083</v>
      </c>
      <c r="S36" s="62">
        <f t="shared" si="69"/>
        <v>6529783</v>
      </c>
      <c r="T36" s="62">
        <f t="shared" si="69"/>
        <v>915975</v>
      </c>
      <c r="U36" s="62">
        <f t="shared" si="69"/>
        <v>10498954</v>
      </c>
      <c r="V36" s="62">
        <f t="shared" si="69"/>
        <v>11414929</v>
      </c>
      <c r="W36" s="62">
        <f t="shared" si="69"/>
        <v>642559</v>
      </c>
      <c r="X36" s="62">
        <f t="shared" si="69"/>
        <v>321326</v>
      </c>
      <c r="Y36" s="62">
        <f t="shared" si="69"/>
        <v>963885</v>
      </c>
      <c r="Z36" s="62">
        <f t="shared" si="69"/>
        <v>290027</v>
      </c>
      <c r="AA36" s="62">
        <f t="shared" si="69"/>
        <v>115592</v>
      </c>
      <c r="AB36" s="62">
        <f t="shared" si="69"/>
        <v>405619</v>
      </c>
      <c r="AC36" s="62">
        <f t="shared" si="69"/>
        <v>7209475.5099999998</v>
      </c>
      <c r="AD36" s="62">
        <f t="shared" si="69"/>
        <v>10374611.08</v>
      </c>
      <c r="AE36" s="62">
        <f t="shared" si="69"/>
        <v>17584086.59</v>
      </c>
      <c r="AF36" s="62">
        <f t="shared" si="69"/>
        <v>470448</v>
      </c>
      <c r="AG36" s="62">
        <f t="shared" si="69"/>
        <v>2312054</v>
      </c>
      <c r="AH36" s="62">
        <f t="shared" si="69"/>
        <v>2782502</v>
      </c>
      <c r="AI36" s="62">
        <f t="shared" si="69"/>
        <v>398097</v>
      </c>
      <c r="AJ36" s="62">
        <f t="shared" si="69"/>
        <v>3419064</v>
      </c>
      <c r="AK36" s="62">
        <f t="shared" si="69"/>
        <v>3817161</v>
      </c>
      <c r="AL36" s="62">
        <f t="shared" si="69"/>
        <v>1882334</v>
      </c>
      <c r="AM36" s="62">
        <f t="shared" si="69"/>
        <v>12980591</v>
      </c>
      <c r="AN36" s="62">
        <f t="shared" si="69"/>
        <v>14862925</v>
      </c>
      <c r="AO36" s="62">
        <f t="shared" si="69"/>
        <v>6430044</v>
      </c>
      <c r="AP36" s="62">
        <f t="shared" si="69"/>
        <v>21973352</v>
      </c>
      <c r="AQ36" s="62">
        <f t="shared" si="69"/>
        <v>28403396</v>
      </c>
      <c r="AR36" s="62">
        <f t="shared" si="69"/>
        <v>4033485</v>
      </c>
      <c r="AS36" s="62">
        <f t="shared" si="69"/>
        <v>16855355</v>
      </c>
      <c r="AT36" s="62">
        <f t="shared" si="69"/>
        <v>20888840</v>
      </c>
      <c r="AU36" s="62">
        <f t="shared" si="69"/>
        <v>112663</v>
      </c>
      <c r="AV36" s="62">
        <f t="shared" si="69"/>
        <v>357910</v>
      </c>
      <c r="AW36" s="62">
        <f t="shared" si="69"/>
        <v>470573</v>
      </c>
      <c r="AX36" s="62">
        <f t="shared" si="69"/>
        <v>1376250</v>
      </c>
      <c r="AY36" s="62">
        <f t="shared" si="69"/>
        <v>4567672</v>
      </c>
      <c r="AZ36" s="62">
        <f t="shared" si="69"/>
        <v>5943922</v>
      </c>
      <c r="BA36" s="62">
        <f t="shared" si="69"/>
        <v>265732</v>
      </c>
      <c r="BB36" s="62">
        <f t="shared" si="69"/>
        <v>1668360</v>
      </c>
      <c r="BC36" s="62">
        <f t="shared" si="69"/>
        <v>1934092</v>
      </c>
      <c r="BD36" s="62">
        <f t="shared" si="69"/>
        <v>556944</v>
      </c>
      <c r="BE36" s="62">
        <f t="shared" si="69"/>
        <v>690454</v>
      </c>
      <c r="BF36" s="62">
        <f t="shared" si="69"/>
        <v>1247398</v>
      </c>
      <c r="BG36" s="62">
        <f t="shared" si="69"/>
        <v>700036</v>
      </c>
      <c r="BH36" s="62">
        <f t="shared" si="69"/>
        <v>2285775</v>
      </c>
      <c r="BI36" s="62">
        <f t="shared" si="69"/>
        <v>2985811</v>
      </c>
      <c r="BJ36" s="62">
        <f t="shared" si="69"/>
        <v>0</v>
      </c>
      <c r="BK36" s="62">
        <f t="shared" si="69"/>
        <v>46525228</v>
      </c>
      <c r="BL36" s="62">
        <f t="shared" si="69"/>
        <v>46525228</v>
      </c>
      <c r="BM36" s="62">
        <f t="shared" si="69"/>
        <v>12367460</v>
      </c>
      <c r="BN36" s="62">
        <f t="shared" si="69"/>
        <v>24784780</v>
      </c>
      <c r="BO36" s="62">
        <f t="shared" ref="BO36:CV36" si="70">SUM(BO22:BO35)</f>
        <v>37152240</v>
      </c>
      <c r="BP36" s="62">
        <f t="shared" si="70"/>
        <v>0</v>
      </c>
      <c r="BQ36" s="62">
        <f t="shared" si="70"/>
        <v>0</v>
      </c>
      <c r="BR36" s="62">
        <f t="shared" si="70"/>
        <v>20201916</v>
      </c>
      <c r="BS36" s="62">
        <f t="shared" si="70"/>
        <v>476796</v>
      </c>
      <c r="BT36" s="62">
        <f t="shared" si="70"/>
        <v>1214476</v>
      </c>
      <c r="BU36" s="62">
        <f t="shared" si="70"/>
        <v>1691272</v>
      </c>
      <c r="BV36" s="62">
        <f t="shared" si="70"/>
        <v>3046978</v>
      </c>
      <c r="BW36" s="62">
        <f t="shared" si="70"/>
        <v>19566392</v>
      </c>
      <c r="BX36" s="62">
        <f t="shared" si="70"/>
        <v>22613370</v>
      </c>
      <c r="BY36" s="62">
        <f t="shared" si="70"/>
        <v>0</v>
      </c>
      <c r="BZ36" s="62">
        <f t="shared" si="70"/>
        <v>0</v>
      </c>
      <c r="CA36" s="62">
        <f t="shared" si="70"/>
        <v>3237028</v>
      </c>
      <c r="CB36" s="62">
        <f t="shared" si="70"/>
        <v>2090895</v>
      </c>
      <c r="CC36" s="62">
        <f t="shared" si="70"/>
        <v>8632709</v>
      </c>
      <c r="CD36" s="62">
        <f t="shared" si="70"/>
        <v>10723604</v>
      </c>
      <c r="CE36" s="62">
        <f t="shared" si="70"/>
        <v>299998</v>
      </c>
      <c r="CF36" s="62">
        <f t="shared" si="70"/>
        <v>9564623</v>
      </c>
      <c r="CG36" s="62">
        <f t="shared" si="70"/>
        <v>9864621</v>
      </c>
      <c r="CH36" s="62">
        <f t="shared" si="70"/>
        <v>3277630</v>
      </c>
      <c r="CI36" s="62">
        <f t="shared" si="70"/>
        <v>42305183</v>
      </c>
      <c r="CJ36" s="62">
        <f t="shared" si="70"/>
        <v>45582813</v>
      </c>
      <c r="CK36" s="62">
        <f t="shared" si="70"/>
        <v>1952363</v>
      </c>
      <c r="CL36" s="62">
        <f t="shared" si="70"/>
        <v>2672347</v>
      </c>
      <c r="CM36" s="62">
        <f t="shared" si="70"/>
        <v>4624710</v>
      </c>
      <c r="CN36" s="62">
        <f t="shared" si="70"/>
        <v>1056240</v>
      </c>
      <c r="CO36" s="62">
        <f t="shared" si="70"/>
        <v>5666679</v>
      </c>
      <c r="CP36" s="62">
        <f t="shared" si="70"/>
        <v>6722919</v>
      </c>
      <c r="CQ36" s="62">
        <f t="shared" ref="CQ36:CS36" si="71">SUM(CQ22:CQ35)</f>
        <v>0</v>
      </c>
      <c r="CR36" s="62">
        <f t="shared" si="71"/>
        <v>0</v>
      </c>
      <c r="CS36" s="62">
        <f t="shared" si="71"/>
        <v>31796254</v>
      </c>
      <c r="CT36" s="62">
        <f t="shared" si="70"/>
        <v>2061782</v>
      </c>
      <c r="CU36" s="62">
        <f t="shared" si="70"/>
        <v>5730753</v>
      </c>
      <c r="CV36" s="62">
        <f t="shared" si="70"/>
        <v>7792535</v>
      </c>
    </row>
    <row r="37" spans="1:100" s="63" customFormat="1" x14ac:dyDescent="0.25">
      <c r="A37" s="59" t="s">
        <v>54</v>
      </c>
      <c r="B37" s="62">
        <f>B36+B20</f>
        <v>1788763</v>
      </c>
      <c r="C37" s="62">
        <f t="shared" ref="C37:BN37" si="72">C36+C20</f>
        <v>2416664</v>
      </c>
      <c r="D37" s="62">
        <f t="shared" si="72"/>
        <v>4205427</v>
      </c>
      <c r="E37" s="62">
        <f t="shared" si="72"/>
        <v>2311045</v>
      </c>
      <c r="F37" s="62">
        <f t="shared" si="72"/>
        <v>6099433</v>
      </c>
      <c r="G37" s="62">
        <f t="shared" si="72"/>
        <v>8410478</v>
      </c>
      <c r="H37" s="62">
        <f t="shared" si="72"/>
        <v>0</v>
      </c>
      <c r="I37" s="62">
        <f t="shared" si="72"/>
        <v>0</v>
      </c>
      <c r="J37" s="62">
        <f t="shared" si="72"/>
        <v>74407526</v>
      </c>
      <c r="K37" s="62">
        <f t="shared" si="72"/>
        <v>5247311</v>
      </c>
      <c r="L37" s="62">
        <f t="shared" si="72"/>
        <v>13654815</v>
      </c>
      <c r="M37" s="62">
        <f t="shared" si="72"/>
        <v>18902126</v>
      </c>
      <c r="N37" s="62">
        <f t="shared" si="72"/>
        <v>32131766</v>
      </c>
      <c r="O37" s="62">
        <f t="shared" si="72"/>
        <v>150913828</v>
      </c>
      <c r="P37" s="62">
        <f t="shared" si="72"/>
        <v>183045594</v>
      </c>
      <c r="Q37" s="62">
        <f t="shared" si="72"/>
        <v>6719025</v>
      </c>
      <c r="R37" s="62">
        <f t="shared" si="72"/>
        <v>40933625</v>
      </c>
      <c r="S37" s="62">
        <f t="shared" si="72"/>
        <v>47652650</v>
      </c>
      <c r="T37" s="62">
        <f t="shared" si="72"/>
        <v>7284890</v>
      </c>
      <c r="U37" s="62">
        <f t="shared" si="72"/>
        <v>83499758</v>
      </c>
      <c r="V37" s="62">
        <f t="shared" si="72"/>
        <v>90784648</v>
      </c>
      <c r="W37" s="62">
        <f t="shared" si="72"/>
        <v>1435961</v>
      </c>
      <c r="X37" s="62">
        <f t="shared" si="72"/>
        <v>1732791</v>
      </c>
      <c r="Y37" s="62">
        <f t="shared" si="72"/>
        <v>3168752</v>
      </c>
      <c r="Z37" s="62">
        <f t="shared" si="72"/>
        <v>1233905</v>
      </c>
      <c r="AA37" s="62">
        <f t="shared" si="72"/>
        <v>1796745</v>
      </c>
      <c r="AB37" s="62">
        <f t="shared" si="72"/>
        <v>3030650</v>
      </c>
      <c r="AC37" s="62">
        <f t="shared" si="72"/>
        <v>45282998.030000001</v>
      </c>
      <c r="AD37" s="62">
        <f t="shared" si="72"/>
        <v>65163338.619999997</v>
      </c>
      <c r="AE37" s="62">
        <f t="shared" si="72"/>
        <v>110446336.65000001</v>
      </c>
      <c r="AF37" s="62">
        <f t="shared" si="72"/>
        <v>7772313</v>
      </c>
      <c r="AG37" s="62">
        <f t="shared" si="72"/>
        <v>35651265</v>
      </c>
      <c r="AH37" s="62">
        <f t="shared" si="72"/>
        <v>43423578</v>
      </c>
      <c r="AI37" s="62">
        <f t="shared" si="72"/>
        <v>6875502</v>
      </c>
      <c r="AJ37" s="62">
        <f t="shared" si="72"/>
        <v>27880110</v>
      </c>
      <c r="AK37" s="62">
        <f t="shared" si="72"/>
        <v>34755612</v>
      </c>
      <c r="AL37" s="62">
        <f t="shared" si="72"/>
        <v>14566590</v>
      </c>
      <c r="AM37" s="62">
        <f t="shared" si="72"/>
        <v>100451268</v>
      </c>
      <c r="AN37" s="62">
        <f t="shared" si="72"/>
        <v>115017858</v>
      </c>
      <c r="AO37" s="62">
        <f t="shared" si="72"/>
        <v>58595714</v>
      </c>
      <c r="AP37" s="62">
        <f t="shared" si="72"/>
        <v>204671553</v>
      </c>
      <c r="AQ37" s="62">
        <f t="shared" si="72"/>
        <v>263267267</v>
      </c>
      <c r="AR37" s="62">
        <f t="shared" si="72"/>
        <v>18686597</v>
      </c>
      <c r="AS37" s="62">
        <f t="shared" si="72"/>
        <v>78088612</v>
      </c>
      <c r="AT37" s="62">
        <f t="shared" si="72"/>
        <v>96775209</v>
      </c>
      <c r="AU37" s="62">
        <f t="shared" si="72"/>
        <v>1533365</v>
      </c>
      <c r="AV37" s="62">
        <f t="shared" si="72"/>
        <v>5232491</v>
      </c>
      <c r="AW37" s="62">
        <f t="shared" si="72"/>
        <v>6765856</v>
      </c>
      <c r="AX37" s="62">
        <f t="shared" si="72"/>
        <v>6224072</v>
      </c>
      <c r="AY37" s="62">
        <f t="shared" si="72"/>
        <v>20726251</v>
      </c>
      <c r="AZ37" s="62">
        <f t="shared" si="72"/>
        <v>26950323</v>
      </c>
      <c r="BA37" s="62">
        <f t="shared" si="72"/>
        <v>3139187</v>
      </c>
      <c r="BB37" s="62">
        <f t="shared" si="72"/>
        <v>19708881</v>
      </c>
      <c r="BC37" s="62">
        <f t="shared" si="72"/>
        <v>22848068</v>
      </c>
      <c r="BD37" s="62">
        <f t="shared" si="72"/>
        <v>2185023</v>
      </c>
      <c r="BE37" s="62">
        <f t="shared" si="72"/>
        <v>3868095</v>
      </c>
      <c r="BF37" s="62">
        <f t="shared" si="72"/>
        <v>6053118</v>
      </c>
      <c r="BG37" s="62">
        <f t="shared" si="72"/>
        <v>4028612</v>
      </c>
      <c r="BH37" s="62">
        <f t="shared" si="72"/>
        <v>6643465</v>
      </c>
      <c r="BI37" s="62">
        <f t="shared" si="72"/>
        <v>10672077</v>
      </c>
      <c r="BJ37" s="62">
        <f t="shared" si="72"/>
        <v>0</v>
      </c>
      <c r="BK37" s="62">
        <f t="shared" si="72"/>
        <v>220521251</v>
      </c>
      <c r="BL37" s="62">
        <f t="shared" si="72"/>
        <v>220521251</v>
      </c>
      <c r="BM37" s="62">
        <f t="shared" si="72"/>
        <v>176388898</v>
      </c>
      <c r="BN37" s="62">
        <f t="shared" si="72"/>
        <v>337399009</v>
      </c>
      <c r="BO37" s="62">
        <f t="shared" ref="BO37:CV37" si="73">BO36+BO20</f>
        <v>513787907</v>
      </c>
      <c r="BP37" s="62">
        <f t="shared" si="73"/>
        <v>0</v>
      </c>
      <c r="BQ37" s="62">
        <f t="shared" si="73"/>
        <v>0</v>
      </c>
      <c r="BR37" s="62">
        <f t="shared" si="73"/>
        <v>206732977</v>
      </c>
      <c r="BS37" s="62">
        <f t="shared" si="73"/>
        <v>1311741</v>
      </c>
      <c r="BT37" s="62">
        <f t="shared" si="73"/>
        <v>3341217</v>
      </c>
      <c r="BU37" s="62">
        <f t="shared" si="73"/>
        <v>4652958</v>
      </c>
      <c r="BV37" s="62">
        <f t="shared" si="73"/>
        <v>14581294</v>
      </c>
      <c r="BW37" s="62">
        <f t="shared" si="73"/>
        <v>93634685</v>
      </c>
      <c r="BX37" s="62">
        <f t="shared" si="73"/>
        <v>108215979</v>
      </c>
      <c r="BY37" s="62">
        <f t="shared" si="73"/>
        <v>0</v>
      </c>
      <c r="BZ37" s="62">
        <f t="shared" si="73"/>
        <v>0</v>
      </c>
      <c r="CA37" s="62">
        <f t="shared" si="73"/>
        <v>17757277</v>
      </c>
      <c r="CB37" s="62">
        <f t="shared" si="73"/>
        <v>11201731</v>
      </c>
      <c r="CC37" s="62">
        <f t="shared" si="73"/>
        <v>46248735</v>
      </c>
      <c r="CD37" s="62">
        <f t="shared" si="73"/>
        <v>57450466</v>
      </c>
      <c r="CE37" s="62">
        <f t="shared" si="73"/>
        <v>17926682</v>
      </c>
      <c r="CF37" s="62">
        <f t="shared" si="73"/>
        <v>56342978</v>
      </c>
      <c r="CG37" s="62">
        <f t="shared" si="73"/>
        <v>74269660</v>
      </c>
      <c r="CH37" s="62">
        <f t="shared" si="73"/>
        <v>11743664</v>
      </c>
      <c r="CI37" s="62">
        <f t="shared" si="73"/>
        <v>83356196</v>
      </c>
      <c r="CJ37" s="62">
        <f t="shared" si="73"/>
        <v>95099860</v>
      </c>
      <c r="CK37" s="62">
        <f t="shared" si="73"/>
        <v>18110414</v>
      </c>
      <c r="CL37" s="62">
        <f t="shared" si="73"/>
        <v>24789099</v>
      </c>
      <c r="CM37" s="62">
        <f t="shared" si="73"/>
        <v>42899513</v>
      </c>
      <c r="CN37" s="62">
        <f t="shared" si="73"/>
        <v>18685264</v>
      </c>
      <c r="CO37" s="62">
        <f t="shared" si="73"/>
        <v>100245521</v>
      </c>
      <c r="CP37" s="62">
        <f t="shared" si="73"/>
        <v>118930785</v>
      </c>
      <c r="CQ37" s="62">
        <f t="shared" ref="CQ37:CS37" si="74">CQ36+CQ20</f>
        <v>0</v>
      </c>
      <c r="CR37" s="62">
        <f t="shared" si="74"/>
        <v>0</v>
      </c>
      <c r="CS37" s="62">
        <f t="shared" si="74"/>
        <v>279307452</v>
      </c>
      <c r="CT37" s="62">
        <f t="shared" si="73"/>
        <v>7990634</v>
      </c>
      <c r="CU37" s="62">
        <f t="shared" si="73"/>
        <v>22210088</v>
      </c>
      <c r="CV37" s="62">
        <f t="shared" si="73"/>
        <v>30200722</v>
      </c>
    </row>
  </sheetData>
  <mergeCells count="34">
    <mergeCell ref="A3:A4"/>
    <mergeCell ref="BV3:BX3"/>
    <mergeCell ref="B3:D3"/>
    <mergeCell ref="E3:G3"/>
    <mergeCell ref="H3:J3"/>
    <mergeCell ref="K3:M3"/>
    <mergeCell ref="N3:P3"/>
    <mergeCell ref="CB3:CD3"/>
    <mergeCell ref="CE3:CG3"/>
    <mergeCell ref="AR3:AT3"/>
    <mergeCell ref="AU3:AW3"/>
    <mergeCell ref="AX3:AZ3"/>
    <mergeCell ref="BD3:BF3"/>
    <mergeCell ref="BG3:BI3"/>
    <mergeCell ref="BJ3:BL3"/>
    <mergeCell ref="BM3:BO3"/>
    <mergeCell ref="BP3:BR3"/>
    <mergeCell ref="BS3:BU3"/>
    <mergeCell ref="CN3:CP3"/>
    <mergeCell ref="CT3:CV3"/>
    <mergeCell ref="Q3:S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CQ3:CS3"/>
    <mergeCell ref="CH3:CJ3"/>
    <mergeCell ref="CK3:CM3"/>
    <mergeCell ref="BY3:C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2021-02-12T08:59:43Z</dcterms:modified>
</cp:coreProperties>
</file>